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7825C49F-2227-48E5-BAA9-92B089B96F89}" xr6:coauthVersionLast="47" xr6:coauthVersionMax="47" xr10:uidLastSave="{00000000-0000-0000-0000-000000000000}"/>
  <bookViews>
    <workbookView xWindow="-289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<sst xmlns="http://schemas.openxmlformats.org/spreadsheetml/2006/main" count="11396" uniqueCount="2405">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</sst>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2398</v>
      </c>
    </row>
    <row r="2" spans="1:29" ht="9" customHeight="1">
      <c r="A2" s="392"/>
    </row>
    <row r="3" spans="1:29" ht="20.100000000000001" customHeight="1">
      <c r="A3" s="436" t="s">
        <v>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181</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2403</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2404</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c r="N39" s="15"/>
      <c r="O39" s="15"/>
      <c r="P39" s="446" t="s">
        <v>62</v>
      </c>
      <c r="Q39" s="15"/>
      <c r="R39" s="15"/>
      <c r="S39" s="15"/>
      <c r="T39" s="16"/>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40"/>
      <c r="N43" s="741"/>
      <c r="O43" s="741"/>
      <c r="P43" s="741"/>
      <c r="Q43" s="741"/>
      <c r="R43" s="741"/>
      <c r="S43" s="741"/>
      <c r="T43" s="741"/>
      <c r="U43" s="741"/>
      <c r="V43" s="741"/>
      <c r="W43" s="742"/>
      <c r="X43" s="743"/>
      <c r="Y43" s="206"/>
      <c r="Z43" s="206"/>
      <c r="AA43" s="206"/>
      <c r="AB43" s="206"/>
      <c r="AC43" s="206"/>
    </row>
    <row r="44" spans="1:31" ht="20.100000000000001" customHeight="1">
      <c r="A44" s="206"/>
      <c r="B44" s="726"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206"/>
      <c r="Z44" s="206"/>
      <c r="AA44" s="206"/>
      <c r="AB44" s="206"/>
      <c r="AC44" s="206"/>
    </row>
    <row r="45" spans="1:31" ht="20.100000000000001" customHeight="1">
      <c r="A45" s="206"/>
      <c r="B45" s="727"/>
      <c r="C45" s="780" t="s">
        <v>53</v>
      </c>
      <c r="D45" s="780"/>
      <c r="E45" s="780"/>
      <c r="F45" s="780"/>
      <c r="G45" s="780"/>
      <c r="H45" s="780"/>
      <c r="I45" s="780"/>
      <c r="J45" s="780"/>
      <c r="K45" s="780"/>
      <c r="L45" s="780"/>
      <c r="M45" s="721"/>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2324</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190</v>
      </c>
      <c r="AA52" s="697" t="s">
        <v>2290</v>
      </c>
      <c r="AB52" s="697" t="s">
        <v>189</v>
      </c>
      <c r="AC52" s="760" t="s">
        <v>168</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4"/>
      <c r="D54" s="735"/>
      <c r="E54" s="735"/>
      <c r="F54" s="735"/>
      <c r="G54" s="735"/>
      <c r="H54" s="735"/>
      <c r="I54" s="735"/>
      <c r="J54" s="735"/>
      <c r="K54" s="735"/>
      <c r="L54" s="736"/>
      <c r="M54" s="728"/>
      <c r="N54" s="729"/>
      <c r="O54" s="729"/>
      <c r="P54" s="729"/>
      <c r="Q54" s="730"/>
      <c r="R54" s="728"/>
      <c r="S54" s="729"/>
      <c r="T54" s="729"/>
      <c r="U54" s="729"/>
      <c r="V54" s="730"/>
      <c r="W54" s="120"/>
      <c r="X54" s="17"/>
      <c r="Y54" s="17"/>
      <c r="Z54" s="18"/>
      <c r="AA54" s="24"/>
      <c r="AB54" s="454" t="str">
        <f>IF(Z54-AA54=0,"",Z54-AA54)</f>
        <v/>
      </c>
      <c r="AC54" s="123" t="str">
        <f>IF(Y54="","",IFERROR(INDEX(【参考】数式用2!$G$3:$I$451,MATCH(W54,【参考】数式用2!$F$3:$F$451,0),MATCH(VLOOKUP(Y54,【参考】数式用2!$J$2:$K$26,2,FALSE),【参考】数式用2!$G$2:$I$2,0)),10))</f>
        <v/>
      </c>
      <c r="AD54" s="455"/>
    </row>
    <row r="55" spans="1:30" ht="37.5" customHeight="1">
      <c r="A55" s="206"/>
      <c r="B55" s="441">
        <f>B54+1</f>
        <v>2</v>
      </c>
      <c r="C55" s="737"/>
      <c r="D55" s="738"/>
      <c r="E55" s="738"/>
      <c r="F55" s="738"/>
      <c r="G55" s="738"/>
      <c r="H55" s="738"/>
      <c r="I55" s="738"/>
      <c r="J55" s="738"/>
      <c r="K55" s="738"/>
      <c r="L55" s="739"/>
      <c r="M55" s="731"/>
      <c r="N55" s="732"/>
      <c r="O55" s="732"/>
      <c r="P55" s="732"/>
      <c r="Q55" s="733"/>
      <c r="R55" s="709"/>
      <c r="S55" s="710"/>
      <c r="T55" s="710"/>
      <c r="U55" s="710"/>
      <c r="V55" s="711"/>
      <c r="W55" s="162"/>
      <c r="X55" s="19"/>
      <c r="Y55" s="19"/>
      <c r="Z55" s="20"/>
      <c r="AA55" s="25"/>
      <c r="AB55" s="456" t="str">
        <f>IF(Z55-AA55=0,"",Z55-AA55)</f>
        <v/>
      </c>
      <c r="AC55" s="124" t="str">
        <f>IF(Y55="","",IFERROR(INDEX(【参考】数式用2!$G$3:$I$451,MATCH(W55,【参考】数式用2!$F$3:$F$451,0),MATCH(VLOOKUP(Y55,【参考】数式用2!$J$2:$K$26,2,FALSE),【参考】数式用2!$G$2:$I$2,0)),10))</f>
        <v/>
      </c>
      <c r="AD55" s="455"/>
    </row>
    <row r="56" spans="1:30" ht="37.5" customHeight="1">
      <c r="A56" s="206"/>
      <c r="B56" s="441">
        <f t="shared" ref="B56:B92" si="0">B55+1</f>
        <v>3</v>
      </c>
      <c r="C56" s="737"/>
      <c r="D56" s="738"/>
      <c r="E56" s="738"/>
      <c r="F56" s="738"/>
      <c r="G56" s="738"/>
      <c r="H56" s="738"/>
      <c r="I56" s="738"/>
      <c r="J56" s="738"/>
      <c r="K56" s="738"/>
      <c r="L56" s="739"/>
      <c r="M56" s="709"/>
      <c r="N56" s="710"/>
      <c r="O56" s="710"/>
      <c r="P56" s="710"/>
      <c r="Q56" s="711"/>
      <c r="R56" s="709"/>
      <c r="S56" s="710"/>
      <c r="T56" s="710"/>
      <c r="U56" s="710"/>
      <c r="V56" s="711"/>
      <c r="W56" s="162"/>
      <c r="X56" s="19"/>
      <c r="Y56" s="19"/>
      <c r="Z56" s="21"/>
      <c r="AA56" s="26"/>
      <c r="AB56" s="456" t="str">
        <f t="shared" ref="AB56:AB119" si="1">IF(Z56-AA56=0,"",Z56-AA56)</f>
        <v/>
      </c>
      <c r="AC56" s="124" t="str">
        <f>IF(Y56="","",IFERROR(INDEX(【参考】数式用2!$G$3:$I$451,MATCH(W56,【参考】数式用2!$F$3:$F$451,0),MATCH(VLOOKUP(Y56,【参考】数式用2!$J$2:$K$26,2,FALSE),【参考】数式用2!$G$2:$I$2,0)),10))</f>
        <v/>
      </c>
      <c r="AD56" s="455"/>
    </row>
    <row r="57" spans="1:30" ht="37.5" customHeight="1">
      <c r="A57" s="206"/>
      <c r="B57" s="441">
        <f t="shared" si="0"/>
        <v>4</v>
      </c>
      <c r="C57" s="737"/>
      <c r="D57" s="738"/>
      <c r="E57" s="738"/>
      <c r="F57" s="738"/>
      <c r="G57" s="738"/>
      <c r="H57" s="738"/>
      <c r="I57" s="738"/>
      <c r="J57" s="738"/>
      <c r="K57" s="738"/>
      <c r="L57" s="739"/>
      <c r="M57" s="709"/>
      <c r="N57" s="710"/>
      <c r="O57" s="710"/>
      <c r="P57" s="710"/>
      <c r="Q57" s="711"/>
      <c r="R57" s="709"/>
      <c r="S57" s="710"/>
      <c r="T57" s="710"/>
      <c r="U57" s="710"/>
      <c r="V57" s="711"/>
      <c r="W57" s="162"/>
      <c r="X57" s="19"/>
      <c r="Y57" s="19"/>
      <c r="Z57" s="21"/>
      <c r="AA57" s="26"/>
      <c r="AB57" s="456" t="str">
        <f t="shared" si="1"/>
        <v/>
      </c>
      <c r="AC57" s="124" t="str">
        <f>IF(Y57="","",IFERROR(INDEX(【参考】数式用2!$G$3:$I$451,MATCH(W57,【参考】数式用2!$F$3:$F$451,0),MATCH(VLOOKUP(Y57,【参考】数式用2!$J$2:$K$26,2,FALSE),【参考】数式用2!$G$2:$I$2,0)),10))</f>
        <v/>
      </c>
      <c r="AD57" s="455"/>
    </row>
    <row r="58" spans="1:30" ht="37.5" customHeight="1">
      <c r="A58" s="206"/>
      <c r="B58" s="441">
        <f t="shared" si="0"/>
        <v>5</v>
      </c>
      <c r="C58" s="737"/>
      <c r="D58" s="738"/>
      <c r="E58" s="738"/>
      <c r="F58" s="738"/>
      <c r="G58" s="738"/>
      <c r="H58" s="738"/>
      <c r="I58" s="738"/>
      <c r="J58" s="738"/>
      <c r="K58" s="738"/>
      <c r="L58" s="739"/>
      <c r="M58" s="709"/>
      <c r="N58" s="710"/>
      <c r="O58" s="710"/>
      <c r="P58" s="710"/>
      <c r="Q58" s="711"/>
      <c r="R58" s="709"/>
      <c r="S58" s="710"/>
      <c r="T58" s="710"/>
      <c r="U58" s="710"/>
      <c r="V58" s="711"/>
      <c r="W58" s="162"/>
      <c r="X58" s="19"/>
      <c r="Y58" s="19"/>
      <c r="Z58" s="21"/>
      <c r="AA58" s="26"/>
      <c r="AB58" s="456" t="str">
        <f t="shared" si="1"/>
        <v/>
      </c>
      <c r="AC58" s="124" t="str">
        <f>IF(Y58="","",IFERROR(INDEX(【参考】数式用2!$G$3:$I$451,MATCH(W58,【参考】数式用2!$F$3:$F$451,0),MATCH(VLOOKUP(Y58,【参考】数式用2!$J$2:$K$26,2,FALSE),【参考】数式用2!$G$2:$I$2,0)),10))</f>
        <v/>
      </c>
      <c r="AD58" s="455"/>
    </row>
    <row r="59" spans="1:30" ht="37.5" customHeight="1">
      <c r="A59" s="206"/>
      <c r="B59" s="441">
        <f t="shared" si="0"/>
        <v>6</v>
      </c>
      <c r="C59" s="737"/>
      <c r="D59" s="738"/>
      <c r="E59" s="738"/>
      <c r="F59" s="738"/>
      <c r="G59" s="738"/>
      <c r="H59" s="738"/>
      <c r="I59" s="738"/>
      <c r="J59" s="738"/>
      <c r="K59" s="738"/>
      <c r="L59" s="739"/>
      <c r="M59" s="709"/>
      <c r="N59" s="710"/>
      <c r="O59" s="710"/>
      <c r="P59" s="710"/>
      <c r="Q59" s="711"/>
      <c r="R59" s="709"/>
      <c r="S59" s="710"/>
      <c r="T59" s="710"/>
      <c r="U59" s="710"/>
      <c r="V59" s="711"/>
      <c r="W59" s="162"/>
      <c r="X59" s="19"/>
      <c r="Y59" s="19"/>
      <c r="Z59" s="21"/>
      <c r="AA59" s="26"/>
      <c r="AB59" s="456" t="str">
        <f t="shared" si="1"/>
        <v/>
      </c>
      <c r="AC59" s="124" t="str">
        <f>IF(Y59="","",IFERROR(INDEX(【参考】数式用2!$G$3:$I$451,MATCH(W59,【参考】数式用2!$F$3:$F$451,0),MATCH(VLOOKUP(Y59,【参考】数式用2!$J$2:$K$26,2,FALSE),【参考】数式用2!$G$2:$I$2,0)),10))</f>
        <v/>
      </c>
      <c r="AD59" s="455"/>
    </row>
    <row r="60" spans="1:30" ht="37.5" customHeight="1">
      <c r="A60" s="206"/>
      <c r="B60" s="441">
        <f t="shared" si="0"/>
        <v>7</v>
      </c>
      <c r="C60" s="737"/>
      <c r="D60" s="738"/>
      <c r="E60" s="738"/>
      <c r="F60" s="738"/>
      <c r="G60" s="738"/>
      <c r="H60" s="738"/>
      <c r="I60" s="738"/>
      <c r="J60" s="738"/>
      <c r="K60" s="738"/>
      <c r="L60" s="739"/>
      <c r="M60" s="709"/>
      <c r="N60" s="710"/>
      <c r="O60" s="710"/>
      <c r="P60" s="710"/>
      <c r="Q60" s="711"/>
      <c r="R60" s="709"/>
      <c r="S60" s="710"/>
      <c r="T60" s="710"/>
      <c r="U60" s="710"/>
      <c r="V60" s="711"/>
      <c r="W60" s="162"/>
      <c r="X60" s="19"/>
      <c r="Y60" s="19"/>
      <c r="Z60" s="21"/>
      <c r="AA60" s="26"/>
      <c r="AB60" s="456" t="str">
        <f t="shared" si="1"/>
        <v/>
      </c>
      <c r="AC60" s="124" t="str">
        <f>IF(Y60="","",IFERROR(INDEX(【参考】数式用2!$G$3:$I$451,MATCH(W60,【参考】数式用2!$F$3:$F$451,0),MATCH(VLOOKUP(Y60,【参考】数式用2!$J$2:$K$26,2,FALSE),【参考】数式用2!$G$2:$I$2,0)),10))</f>
        <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2209</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2102</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
      </c>
      <c r="M13" s="998"/>
      <c r="N13" s="998"/>
      <c r="O13" s="998"/>
      <c r="P13" s="998"/>
      <c r="Q13" s="998"/>
      <c r="R13" s="998"/>
      <c r="S13" s="998"/>
      <c r="T13" s="998"/>
      <c r="U13" s="999"/>
      <c r="V13" s="1000" t="s">
        <v>73</v>
      </c>
      <c r="W13" s="1001"/>
      <c r="X13" s="1001"/>
      <c r="Y13" s="992"/>
      <c r="Z13" s="997" t="str">
        <f>IF(基本情報入力シート!M47="","",基本情報入力シート!M47)</f>
        <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2227</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2208</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0</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2223</v>
      </c>
      <c r="D19" s="967" t="s">
        <v>2226</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0</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2225</v>
      </c>
      <c r="E20" s="967" t="s">
        <v>2224</v>
      </c>
      <c r="F20" s="967"/>
      <c r="G20" s="967"/>
      <c r="H20" s="967"/>
      <c r="I20" s="967"/>
      <c r="J20" s="967"/>
      <c r="K20" s="967"/>
      <c r="L20" s="967"/>
      <c r="M20" s="967"/>
      <c r="N20" s="967"/>
      <c r="O20" s="967"/>
      <c r="P20" s="1058"/>
      <c r="Q20" s="979"/>
      <c r="R20" s="980"/>
      <c r="S20" s="980"/>
      <c r="T20" s="980"/>
      <c r="U20" s="980"/>
      <c r="V20" s="981"/>
      <c r="W20" s="199" t="s">
        <v>1</v>
      </c>
      <c r="X20" s="174" t="s">
        <v>166</v>
      </c>
      <c r="Y20" s="200" t="str">
        <f>IF(Q20&gt;Q19,"×","")</f>
        <v/>
      </c>
      <c r="Z20" s="172"/>
      <c r="AA20" s="172"/>
      <c r="AB20" s="172"/>
      <c r="AC20" s="172"/>
      <c r="AD20" s="172"/>
      <c r="AE20" s="172"/>
      <c r="AF20" s="172"/>
      <c r="AG20" s="172"/>
      <c r="AH20" s="172"/>
      <c r="AI20" s="172"/>
      <c r="AJ20" s="172"/>
      <c r="AK20" s="172"/>
      <c r="AL20" s="172"/>
      <c r="AM20" s="940" t="s">
        <v>2259</v>
      </c>
      <c r="AN20" s="941"/>
      <c r="AO20" s="941"/>
      <c r="AP20" s="941"/>
      <c r="AQ20" s="941"/>
      <c r="AR20" s="941"/>
      <c r="AS20" s="941"/>
      <c r="AT20" s="941"/>
      <c r="AU20" s="941"/>
      <c r="AV20" s="941"/>
      <c r="AW20" s="941"/>
      <c r="AX20" s="941"/>
      <c r="AY20" s="942"/>
    </row>
    <row r="21" spans="1:51" ht="28.5" customHeight="1" thickBot="1">
      <c r="A21" s="172"/>
      <c r="B21" s="201" t="s">
        <v>9</v>
      </c>
      <c r="C21" s="967" t="s">
        <v>2297</v>
      </c>
      <c r="D21" s="968"/>
      <c r="E21" s="968"/>
      <c r="F21" s="968"/>
      <c r="G21" s="968"/>
      <c r="H21" s="968"/>
      <c r="I21" s="968"/>
      <c r="J21" s="968"/>
      <c r="K21" s="968"/>
      <c r="L21" s="968"/>
      <c r="M21" s="968"/>
      <c r="N21" s="968"/>
      <c r="O21" s="968"/>
      <c r="P21" s="968"/>
      <c r="Q21" s="945">
        <f>Q18-Q20</f>
        <v>0</v>
      </c>
      <c r="R21" s="946"/>
      <c r="S21" s="946"/>
      <c r="T21" s="946"/>
      <c r="U21" s="946"/>
      <c r="V21" s="947"/>
      <c r="W21" s="202" t="s">
        <v>1</v>
      </c>
      <c r="X21" s="174" t="s">
        <v>238</v>
      </c>
      <c r="Y21" s="1005" t="str">
        <f>IFERROR(IF(Q22&gt;=Q21,"○","×"),"")</f>
        <v>○</v>
      </c>
      <c r="Z21" s="172"/>
      <c r="AA21" s="172"/>
      <c r="AB21" s="172"/>
      <c r="AC21" s="172"/>
      <c r="AD21" s="172"/>
      <c r="AE21" s="172"/>
      <c r="AF21" s="172"/>
      <c r="AG21" s="172"/>
      <c r="AH21" s="172"/>
      <c r="AI21" s="172"/>
      <c r="AJ21" s="172"/>
      <c r="AK21" s="172"/>
      <c r="AL21" s="172"/>
      <c r="AM21" s="880" t="s">
        <v>2374</v>
      </c>
      <c r="AN21" s="881"/>
      <c r="AO21" s="881"/>
      <c r="AP21" s="881"/>
      <c r="AQ21" s="881"/>
      <c r="AR21" s="881"/>
      <c r="AS21" s="881"/>
      <c r="AT21" s="881"/>
      <c r="AU21" s="881"/>
      <c r="AV21" s="881"/>
      <c r="AW21" s="881"/>
      <c r="AX21" s="881"/>
      <c r="AY21" s="882"/>
    </row>
    <row r="22" spans="1:51" ht="30" customHeight="1" thickBot="1">
      <c r="A22" s="172"/>
      <c r="B22" s="201" t="s">
        <v>98</v>
      </c>
      <c r="C22" s="967" t="s">
        <v>2230</v>
      </c>
      <c r="D22" s="967"/>
      <c r="E22" s="967"/>
      <c r="F22" s="967"/>
      <c r="G22" s="967"/>
      <c r="H22" s="967"/>
      <c r="I22" s="967"/>
      <c r="J22" s="967"/>
      <c r="K22" s="967"/>
      <c r="L22" s="967"/>
      <c r="M22" s="967"/>
      <c r="N22" s="967"/>
      <c r="O22" s="967"/>
      <c r="P22" s="967"/>
      <c r="Q22" s="979"/>
      <c r="R22" s="980"/>
      <c r="S22" s="980"/>
      <c r="T22" s="980"/>
      <c r="U22" s="980"/>
      <c r="V22" s="981"/>
      <c r="W22" s="203" t="s">
        <v>1</v>
      </c>
      <c r="X22" s="174" t="s">
        <v>238</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2228</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2111</v>
      </c>
      <c r="C25" s="967" t="s">
        <v>2296</v>
      </c>
      <c r="D25" s="967"/>
      <c r="E25" s="967"/>
      <c r="F25" s="967"/>
      <c r="G25" s="967"/>
      <c r="H25" s="967"/>
      <c r="I25" s="967"/>
      <c r="J25" s="967"/>
      <c r="K25" s="967"/>
      <c r="L25" s="967"/>
      <c r="M25" s="967"/>
      <c r="N25" s="967"/>
      <c r="O25" s="967"/>
      <c r="P25" s="978"/>
      <c r="Q25" s="994">
        <f>Q19-Q20</f>
        <v>0</v>
      </c>
      <c r="R25" s="995"/>
      <c r="S25" s="995"/>
      <c r="T25" s="995"/>
      <c r="U25" s="995"/>
      <c r="V25" s="995"/>
      <c r="W25" s="193" t="s">
        <v>1</v>
      </c>
      <c r="X25" s="174" t="s">
        <v>166</v>
      </c>
      <c r="Y25" s="976" t="str">
        <f>IFERROR(IF(Q25&lt;=0,"",IF(Q26&gt;=Q25,"○","×")),"")</f>
        <v/>
      </c>
      <c r="Z25" s="174" t="s">
        <v>2219</v>
      </c>
      <c r="AA25" s="1005" t="str">
        <f>IFERROR(IF(Y25="×",IF(Q28&gt;=Q25,"○","×"),""),"")</f>
        <v/>
      </c>
      <c r="AB25" s="172"/>
      <c r="AC25" s="172"/>
      <c r="AD25" s="172"/>
      <c r="AE25" s="172"/>
      <c r="AF25" s="172"/>
      <c r="AG25" s="172"/>
      <c r="AH25" s="172"/>
      <c r="AI25" s="172"/>
      <c r="AJ25" s="172"/>
      <c r="AK25" s="172"/>
      <c r="AL25" s="172"/>
    </row>
    <row r="26" spans="1:51" ht="37.5" customHeight="1" thickBot="1">
      <c r="A26" s="172"/>
      <c r="B26" s="201" t="s">
        <v>2218</v>
      </c>
      <c r="C26" s="967" t="s">
        <v>2322</v>
      </c>
      <c r="D26" s="967"/>
      <c r="E26" s="967"/>
      <c r="F26" s="967"/>
      <c r="G26" s="967"/>
      <c r="H26" s="967"/>
      <c r="I26" s="967"/>
      <c r="J26" s="967"/>
      <c r="K26" s="967"/>
      <c r="L26" s="967"/>
      <c r="M26" s="967"/>
      <c r="N26" s="967"/>
      <c r="O26" s="967"/>
      <c r="P26" s="978"/>
      <c r="Q26" s="979"/>
      <c r="R26" s="980"/>
      <c r="S26" s="980"/>
      <c r="T26" s="980"/>
      <c r="U26" s="980"/>
      <c r="V26" s="981"/>
      <c r="W26" s="193" t="s">
        <v>1</v>
      </c>
      <c r="X26" s="174" t="s">
        <v>166</v>
      </c>
      <c r="Y26" s="977"/>
      <c r="Z26" s="174"/>
      <c r="AA26" s="1006"/>
      <c r="AB26" s="172"/>
      <c r="AC26" s="172"/>
      <c r="AD26" s="172"/>
      <c r="AE26" s="172"/>
      <c r="AF26" s="172"/>
      <c r="AG26" s="172"/>
      <c r="AH26" s="172"/>
      <c r="AI26" s="172"/>
      <c r="AJ26" s="172"/>
      <c r="AK26" s="172"/>
      <c r="AL26" s="172"/>
    </row>
    <row r="27" spans="1:51" ht="26.25" customHeight="1" thickBot="1">
      <c r="A27" s="172"/>
      <c r="B27" s="201" t="s">
        <v>2220</v>
      </c>
      <c r="C27" s="967" t="s">
        <v>2262</v>
      </c>
      <c r="D27" s="967"/>
      <c r="E27" s="967"/>
      <c r="F27" s="967"/>
      <c r="G27" s="967"/>
      <c r="H27" s="967"/>
      <c r="I27" s="967"/>
      <c r="J27" s="967"/>
      <c r="K27" s="967"/>
      <c r="L27" s="967"/>
      <c r="M27" s="967"/>
      <c r="N27" s="967"/>
      <c r="O27" s="967"/>
      <c r="P27" s="978"/>
      <c r="Q27" s="979"/>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2399</v>
      </c>
      <c r="AN27" s="819"/>
      <c r="AO27" s="819"/>
      <c r="AP27" s="819"/>
      <c r="AQ27" s="819"/>
      <c r="AR27" s="819"/>
      <c r="AS27" s="819"/>
      <c r="AT27" s="819"/>
      <c r="AU27" s="819"/>
      <c r="AV27" s="819"/>
      <c r="AW27" s="819"/>
      <c r="AX27" s="819"/>
      <c r="AY27" s="820"/>
    </row>
    <row r="28" spans="1:51" ht="16.5" customHeight="1" thickBot="1">
      <c r="A28" s="172"/>
      <c r="B28" s="201" t="s">
        <v>2229</v>
      </c>
      <c r="C28" s="967" t="s">
        <v>2295</v>
      </c>
      <c r="D28" s="967"/>
      <c r="E28" s="967"/>
      <c r="F28" s="967"/>
      <c r="G28" s="967"/>
      <c r="H28" s="967"/>
      <c r="I28" s="967"/>
      <c r="J28" s="967"/>
      <c r="K28" s="967"/>
      <c r="L28" s="967"/>
      <c r="M28" s="967"/>
      <c r="N28" s="967"/>
      <c r="O28" s="967"/>
      <c r="P28" s="978"/>
      <c r="Q28" s="1002">
        <f>Q26+Q27</f>
        <v>0</v>
      </c>
      <c r="R28" s="1003"/>
      <c r="S28" s="1003"/>
      <c r="T28" s="1003"/>
      <c r="U28" s="1003"/>
      <c r="V28" s="1004"/>
      <c r="W28" s="193" t="s">
        <v>1</v>
      </c>
      <c r="X28" s="172"/>
      <c r="Y28" s="172"/>
      <c r="Z28" s="172" t="s">
        <v>2219</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2260</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2263</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2261</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2376</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10"/>
    </row>
    <row r="37" spans="1:51" ht="18.75" customHeight="1" thickBot="1">
      <c r="A37" s="172"/>
      <c r="B37" s="971" t="b">
        <v>1</v>
      </c>
      <c r="C37" s="972"/>
      <c r="D37" s="958" t="s">
        <v>167</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166</v>
      </c>
      <c r="AB37" s="200" t="str">
        <f>IFERROR(IF(AM36=TRUE,"○","×"),"")</f>
        <v>×</v>
      </c>
      <c r="AC37" s="174"/>
      <c r="AD37" s="174"/>
      <c r="AE37" s="174"/>
      <c r="AF37" s="174"/>
      <c r="AG37" s="174"/>
      <c r="AH37" s="174"/>
      <c r="AI37" s="174"/>
      <c r="AJ37" s="174"/>
      <c r="AK37" s="174"/>
      <c r="AL37" s="172"/>
      <c r="AM37" s="880" t="s">
        <v>2246</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2271</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263</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2375</v>
      </c>
      <c r="AN42" s="881"/>
      <c r="AO42" s="881"/>
      <c r="AP42" s="881"/>
      <c r="AQ42" s="881"/>
      <c r="AR42" s="881"/>
      <c r="AS42" s="881"/>
      <c r="AT42" s="881"/>
      <c r="AU42" s="881"/>
      <c r="AV42" s="881"/>
      <c r="AW42" s="881"/>
      <c r="AX42" s="881"/>
      <c r="AY42" s="882"/>
    </row>
    <row r="43" spans="1:51" ht="21.75" customHeight="1" thickBot="1">
      <c r="A43" s="172"/>
      <c r="B43" s="900" t="s">
        <v>243</v>
      </c>
      <c r="C43" s="901"/>
      <c r="D43" s="901"/>
      <c r="E43" s="901"/>
      <c r="F43" s="901"/>
      <c r="G43" s="901"/>
      <c r="H43" s="901"/>
      <c r="I43" s="901"/>
      <c r="J43" s="901"/>
      <c r="K43" s="901"/>
      <c r="L43" s="901"/>
      <c r="M43" s="901"/>
      <c r="N43" s="902"/>
      <c r="O43" s="890" t="s">
        <v>19</v>
      </c>
      <c r="P43" s="891"/>
      <c r="Q43" s="944"/>
      <c r="R43" s="944"/>
      <c r="S43" s="213" t="s">
        <v>10</v>
      </c>
      <c r="T43" s="888"/>
      <c r="U43" s="889"/>
      <c r="V43" s="214" t="s">
        <v>11</v>
      </c>
      <c r="W43" s="886" t="s">
        <v>12</v>
      </c>
      <c r="X43" s="886"/>
      <c r="Y43" s="886" t="s">
        <v>19</v>
      </c>
      <c r="Z43" s="898"/>
      <c r="AA43" s="888"/>
      <c r="AB43" s="889"/>
      <c r="AC43" s="215" t="s">
        <v>10</v>
      </c>
      <c r="AD43" s="888"/>
      <c r="AE43" s="889"/>
      <c r="AF43" s="214" t="s">
        <v>11</v>
      </c>
      <c r="AG43" s="214" t="s">
        <v>84</v>
      </c>
      <c r="AH43" s="214" t="str">
        <f>IF(Q43&gt;=1,(AA43*12+AD43)-(Q43*12+T43)+1,"")</f>
        <v/>
      </c>
      <c r="AI43" s="886" t="s">
        <v>85</v>
      </c>
      <c r="AJ43" s="886"/>
      <c r="AK43" s="216" t="s">
        <v>39</v>
      </c>
      <c r="AL43" s="172"/>
      <c r="AM43" s="205"/>
      <c r="AX43" s="210"/>
    </row>
    <row r="44" spans="1:51" s="183" customFormat="1" ht="25.5" customHeight="1" thickBot="1">
      <c r="A44" s="182"/>
      <c r="B44" s="892" t="s">
        <v>244</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2254</v>
      </c>
      <c r="AN44" s="881"/>
      <c r="AO44" s="881"/>
      <c r="AP44" s="881"/>
      <c r="AQ44" s="881"/>
      <c r="AR44" s="881"/>
      <c r="AS44" s="881"/>
      <c r="AT44" s="881"/>
      <c r="AU44" s="881"/>
      <c r="AV44" s="881"/>
      <c r="AW44" s="881"/>
      <c r="AX44" s="881"/>
      <c r="AY44" s="882"/>
    </row>
    <row r="45" spans="1:51" s="183" customFormat="1" ht="18.75" customHeight="1" thickBot="1">
      <c r="A45" s="182"/>
      <c r="B45" s="1077" t="s">
        <v>245</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2291</v>
      </c>
      <c r="H46" s="191"/>
      <c r="I46" s="191"/>
      <c r="J46" s="191"/>
      <c r="K46" s="191"/>
      <c r="L46" s="191"/>
      <c r="M46" s="228" t="b">
        <v>1</v>
      </c>
      <c r="N46" s="227" t="s">
        <v>2292</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2254</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2307</v>
      </c>
      <c r="AR49" s="170" t="b">
        <v>0</v>
      </c>
      <c r="AS49" s="879" t="s">
        <v>2308</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2302</v>
      </c>
      <c r="AO50" s="879"/>
      <c r="AP50" s="879"/>
      <c r="AR50" s="170" t="b">
        <v>0</v>
      </c>
      <c r="AS50" s="879" t="s">
        <v>2309</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2303</v>
      </c>
      <c r="AO51" s="879"/>
      <c r="AP51" s="879"/>
      <c r="AR51" s="170" t="b">
        <v>0</v>
      </c>
      <c r="AS51" s="879" t="s">
        <v>2306</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0</v>
      </c>
      <c r="AN52" s="879" t="s">
        <v>2304</v>
      </c>
      <c r="AO52" s="879"/>
      <c r="AP52" s="879"/>
      <c r="AR52" s="170" t="b">
        <v>0</v>
      </c>
      <c r="AS52" s="879" t="s">
        <v>2310</v>
      </c>
      <c r="AT52" s="879"/>
    </row>
    <row r="53" spans="1:55" s="183" customFormat="1" ht="18.75" customHeight="1">
      <c r="A53" s="182"/>
      <c r="B53" s="1079"/>
      <c r="C53" s="1080"/>
      <c r="D53" s="1080"/>
      <c r="E53" s="1080"/>
      <c r="F53" s="233" t="s">
        <v>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0</v>
      </c>
      <c r="AN53" s="879" t="s">
        <v>2305</v>
      </c>
      <c r="AO53" s="879"/>
      <c r="AP53" s="879"/>
      <c r="AQ53" s="175"/>
      <c r="AR53" s="170" t="b">
        <v>0</v>
      </c>
      <c r="AS53" s="879" t="s">
        <v>2311</v>
      </c>
      <c r="AT53" s="879"/>
      <c r="AV53" s="175"/>
      <c r="BC53" s="175"/>
    </row>
    <row r="54" spans="1:55" ht="18.75" customHeight="1">
      <c r="A54" s="172"/>
      <c r="B54" s="1081"/>
      <c r="C54" s="1082"/>
      <c r="D54" s="1082"/>
      <c r="E54" s="1082"/>
      <c r="F54" s="235" t="s">
        <v>86</v>
      </c>
      <c r="G54" s="236"/>
      <c r="H54" s="236"/>
      <c r="I54" s="236"/>
      <c r="J54" s="236"/>
      <c r="K54" s="236"/>
      <c r="L54" s="236"/>
      <c r="M54" s="1083" t="s">
        <v>2402</v>
      </c>
      <c r="N54" s="1021"/>
      <c r="O54" s="1021"/>
      <c r="P54" s="1021"/>
      <c r="Q54" s="1021"/>
      <c r="R54" s="231" t="s">
        <v>4</v>
      </c>
      <c r="S54" s="1021"/>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2306</v>
      </c>
      <c r="AO54" s="879"/>
      <c r="AP54" s="879"/>
      <c r="AR54" s="170" t="b">
        <v>0</v>
      </c>
      <c r="AS54" s="879" t="s">
        <v>2312</v>
      </c>
      <c r="AT54" s="879"/>
    </row>
    <row r="55" spans="1:55" ht="24.75" customHeight="1">
      <c r="A55" s="172"/>
      <c r="B55" s="1032" t="s">
        <v>248</v>
      </c>
      <c r="C55" s="1033"/>
      <c r="D55" s="1033"/>
      <c r="E55" s="1034"/>
      <c r="F55" s="1158"/>
      <c r="G55" s="1022" t="s">
        <v>246</v>
      </c>
      <c r="H55" s="1023"/>
      <c r="I55" s="1160"/>
      <c r="J55" s="1022" t="s">
        <v>247</v>
      </c>
      <c r="K55" s="1023"/>
      <c r="L55" s="1023"/>
      <c r="M55" s="1024"/>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2127</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2299</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2178</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0</v>
      </c>
      <c r="U60" s="799"/>
      <c r="V60" s="799"/>
      <c r="W60" s="799"/>
      <c r="X60" s="799"/>
      <c r="Y60" s="800"/>
      <c r="Z60" s="202" t="s">
        <v>1</v>
      </c>
      <c r="AA60" s="191" t="s">
        <v>166</v>
      </c>
      <c r="AB60" s="976" t="str">
        <f>IFERROR(IF(T61&gt;=T60,"○","×"),"")</f>
        <v>○</v>
      </c>
      <c r="AC60" s="243"/>
      <c r="AD60" s="244"/>
      <c r="AE60" s="244"/>
      <c r="AF60" s="244"/>
      <c r="AG60" s="244"/>
      <c r="AH60" s="244"/>
      <c r="AI60" s="244"/>
      <c r="AJ60" s="244"/>
      <c r="AK60" s="244"/>
      <c r="AL60" s="172"/>
      <c r="AM60" s="818" t="s">
        <v>2300</v>
      </c>
      <c r="AN60" s="819"/>
      <c r="AO60" s="819"/>
      <c r="AP60" s="819"/>
      <c r="AQ60" s="819"/>
      <c r="AR60" s="819"/>
      <c r="AS60" s="819"/>
      <c r="AT60" s="819"/>
      <c r="AU60" s="819"/>
      <c r="AV60" s="819"/>
      <c r="AW60" s="819"/>
      <c r="AX60" s="819"/>
      <c r="AY60" s="820"/>
    </row>
    <row r="61" spans="1:55" ht="27" customHeight="1" thickBot="1">
      <c r="A61" s="172"/>
      <c r="B61" s="242" t="s">
        <v>9</v>
      </c>
      <c r="C61" s="795" t="s">
        <v>2108</v>
      </c>
      <c r="D61" s="796"/>
      <c r="E61" s="796"/>
      <c r="F61" s="796"/>
      <c r="G61" s="796"/>
      <c r="H61" s="796"/>
      <c r="I61" s="796"/>
      <c r="J61" s="796"/>
      <c r="K61" s="796"/>
      <c r="L61" s="796"/>
      <c r="M61" s="796"/>
      <c r="N61" s="796"/>
      <c r="O61" s="796"/>
      <c r="P61" s="796"/>
      <c r="Q61" s="796"/>
      <c r="R61" s="796"/>
      <c r="S61" s="797"/>
      <c r="T61" s="801"/>
      <c r="U61" s="802"/>
      <c r="V61" s="802"/>
      <c r="W61" s="802"/>
      <c r="X61" s="802"/>
      <c r="Y61" s="803"/>
      <c r="Z61" s="193" t="s">
        <v>1</v>
      </c>
      <c r="AA61" s="191" t="s">
        <v>166</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2382</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2353</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262</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0</v>
      </c>
      <c r="U67" s="859"/>
      <c r="V67" s="859"/>
      <c r="W67" s="859"/>
      <c r="X67" s="859"/>
      <c r="Y67" s="249" t="s">
        <v>1</v>
      </c>
      <c r="Z67" s="250" t="s">
        <v>2319</v>
      </c>
      <c r="AA67" s="251"/>
      <c r="AB67" s="172"/>
      <c r="AC67" s="172"/>
      <c r="AD67" s="172"/>
      <c r="AE67" s="172"/>
      <c r="AF67" s="172"/>
      <c r="AG67" s="172" t="s">
        <v>166</v>
      </c>
      <c r="AH67" s="252" t="str">
        <f>IF(T68&lt;T67,"×","")</f>
        <v/>
      </c>
      <c r="AI67" s="172"/>
      <c r="AJ67" s="172"/>
      <c r="AK67" s="172"/>
      <c r="AL67" s="172"/>
      <c r="AM67" s="824" t="s">
        <v>2383</v>
      </c>
      <c r="AN67" s="825"/>
      <c r="AO67" s="825"/>
      <c r="AP67" s="825"/>
      <c r="AQ67" s="825"/>
      <c r="AR67" s="825"/>
      <c r="AS67" s="825"/>
      <c r="AT67" s="825"/>
      <c r="AU67" s="825"/>
      <c r="AV67" s="825"/>
      <c r="AW67" s="825"/>
      <c r="AX67" s="825"/>
      <c r="AY67" s="826"/>
    </row>
    <row r="68" spans="1:74" ht="23.25" customHeight="1" thickBot="1">
      <c r="A68" s="172"/>
      <c r="B68" s="1104" t="s">
        <v>2377</v>
      </c>
      <c r="C68" s="1105"/>
      <c r="D68" s="1105"/>
      <c r="E68" s="1105"/>
      <c r="F68" s="1105"/>
      <c r="G68" s="1105"/>
      <c r="H68" s="1105"/>
      <c r="I68" s="1105"/>
      <c r="J68" s="1105"/>
      <c r="K68" s="1105"/>
      <c r="L68" s="1105"/>
      <c r="M68" s="1105"/>
      <c r="N68" s="1105"/>
      <c r="O68" s="1105"/>
      <c r="P68" s="1105"/>
      <c r="Q68" s="1105"/>
      <c r="R68" s="1105"/>
      <c r="S68" s="1105"/>
      <c r="T68" s="1175"/>
      <c r="U68" s="1176"/>
      <c r="V68" s="1176"/>
      <c r="W68" s="1176"/>
      <c r="X68" s="1177"/>
      <c r="Y68" s="253" t="s">
        <v>1</v>
      </c>
      <c r="Z68" s="172"/>
      <c r="AA68" s="254" t="s">
        <v>24</v>
      </c>
      <c r="AB68" s="1191">
        <f>IFERROR(T69/T67*100,0)</f>
        <v>0</v>
      </c>
      <c r="AC68" s="1192"/>
      <c r="AD68" s="1193"/>
      <c r="AE68" s="255" t="s">
        <v>138</v>
      </c>
      <c r="AF68" s="255" t="s">
        <v>25</v>
      </c>
      <c r="AG68" s="172" t="s">
        <v>238</v>
      </c>
      <c r="AH68" s="200" t="str">
        <f>IF(T67=0,"",(IF(AB68&gt;=200/3,"○","×")))</f>
        <v/>
      </c>
      <c r="AI68" s="238"/>
      <c r="AJ68" s="238"/>
      <c r="AK68" s="238"/>
      <c r="AL68" s="172"/>
      <c r="AM68" s="824" t="s">
        <v>2355</v>
      </c>
      <c r="AN68" s="825"/>
      <c r="AO68" s="825"/>
      <c r="AP68" s="825"/>
      <c r="AQ68" s="825"/>
      <c r="AR68" s="825"/>
      <c r="AS68" s="825"/>
      <c r="AT68" s="825"/>
      <c r="AU68" s="825"/>
      <c r="AV68" s="825"/>
      <c r="AW68" s="825"/>
      <c r="AX68" s="825"/>
      <c r="AY68" s="826"/>
    </row>
    <row r="69" spans="1:74" ht="19.5" customHeight="1" thickBot="1">
      <c r="A69" s="172"/>
      <c r="B69" s="256"/>
      <c r="C69" s="1102" t="s">
        <v>2379</v>
      </c>
      <c r="D69" s="1102"/>
      <c r="E69" s="1102"/>
      <c r="F69" s="1102"/>
      <c r="G69" s="1102"/>
      <c r="H69" s="1102"/>
      <c r="I69" s="1102"/>
      <c r="J69" s="1102"/>
      <c r="K69" s="1102"/>
      <c r="L69" s="1102"/>
      <c r="M69" s="1102"/>
      <c r="N69" s="1102"/>
      <c r="O69" s="1102"/>
      <c r="P69" s="1102"/>
      <c r="Q69" s="1102"/>
      <c r="R69" s="1102"/>
      <c r="S69" s="1102"/>
      <c r="T69" s="848"/>
      <c r="U69" s="849"/>
      <c r="V69" s="849"/>
      <c r="W69" s="849"/>
      <c r="X69" s="850"/>
      <c r="Y69" s="257" t="s">
        <v>1</v>
      </c>
      <c r="Z69" s="258" t="s">
        <v>2319</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2245</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249</v>
      </c>
      <c r="D74" s="815" t="s">
        <v>2378</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0</v>
      </c>
      <c r="AN74" s="879" t="s">
        <v>2313</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2346</v>
      </c>
      <c r="F75" s="1020"/>
      <c r="G75" s="1020"/>
      <c r="H75" s="1020"/>
      <c r="I75" s="1020"/>
      <c r="J75" s="1020"/>
      <c r="K75" s="1020"/>
      <c r="L75" s="1020"/>
      <c r="M75" s="1020"/>
      <c r="N75" s="1020"/>
      <c r="O75" s="1020"/>
      <c r="P75" s="1020"/>
      <c r="Q75" s="1020"/>
      <c r="R75" s="1020"/>
      <c r="S75" s="1020"/>
      <c r="T75" s="1020"/>
      <c r="U75" s="1020"/>
      <c r="V75" s="1020"/>
      <c r="W75" s="1020"/>
      <c r="X75" s="958"/>
      <c r="Y75" s="174" t="s">
        <v>166</v>
      </c>
      <c r="Z75" s="200" t="str">
        <f>IF('別紙様式2-2（４・５月分）'!AV8="継続ベア加算なし","",IF(AM74=TRUE,"○","×"))</f>
        <v/>
      </c>
      <c r="AA75" s="267"/>
      <c r="AB75" s="267"/>
      <c r="AC75" s="267"/>
      <c r="AD75" s="267"/>
      <c r="AE75" s="267"/>
      <c r="AF75" s="267"/>
      <c r="AG75" s="267"/>
      <c r="AH75" s="267"/>
      <c r="AI75" s="267"/>
      <c r="AJ75" s="267"/>
      <c r="AK75" s="267"/>
      <c r="AL75" s="267"/>
      <c r="AM75" s="824" t="s">
        <v>2247</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249</v>
      </c>
      <c r="D78" s="899" t="s">
        <v>2345</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2170</v>
      </c>
      <c r="D79" s="856"/>
      <c r="E79" s="856"/>
      <c r="F79" s="856"/>
      <c r="G79" s="856"/>
      <c r="H79" s="856"/>
      <c r="I79" s="856"/>
      <c r="J79" s="856"/>
      <c r="K79" s="856"/>
      <c r="L79" s="856"/>
      <c r="M79" s="856"/>
      <c r="N79" s="856"/>
      <c r="O79" s="856"/>
      <c r="P79" s="856"/>
      <c r="Q79" s="856"/>
      <c r="R79" s="856"/>
      <c r="S79" s="856"/>
      <c r="T79" s="857"/>
      <c r="U79" s="858">
        <f>'別紙様式2-2（４・５月分）'!K8</f>
        <v>0</v>
      </c>
      <c r="V79" s="859"/>
      <c r="W79" s="859"/>
      <c r="X79" s="859"/>
      <c r="Y79" s="859"/>
      <c r="Z79" s="272" t="s">
        <v>1</v>
      </c>
      <c r="AA79" s="191" t="s">
        <v>166</v>
      </c>
      <c r="AB79" s="1005" t="str">
        <f>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2142</v>
      </c>
      <c r="D80" s="860"/>
      <c r="E80" s="860"/>
      <c r="F80" s="860"/>
      <c r="G80" s="860"/>
      <c r="H80" s="860"/>
      <c r="I80" s="860"/>
      <c r="J80" s="860"/>
      <c r="K80" s="860"/>
      <c r="L80" s="860"/>
      <c r="M80" s="860"/>
      <c r="N80" s="860"/>
      <c r="O80" s="860"/>
      <c r="P80" s="860"/>
      <c r="Q80" s="860"/>
      <c r="R80" s="860"/>
      <c r="S80" s="860"/>
      <c r="T80" s="861"/>
      <c r="U80" s="858">
        <f>U81+U86</f>
        <v>0</v>
      </c>
      <c r="V80" s="859"/>
      <c r="W80" s="859"/>
      <c r="X80" s="859"/>
      <c r="Y80" s="859"/>
      <c r="Z80" s="249" t="s">
        <v>1</v>
      </c>
      <c r="AA80" s="191" t="s">
        <v>238</v>
      </c>
      <c r="AB80" s="1007"/>
      <c r="AC80" s="191"/>
      <c r="AD80" s="191"/>
      <c r="AE80" s="191"/>
      <c r="AF80" s="191"/>
      <c r="AG80" s="191"/>
      <c r="AH80" s="238"/>
      <c r="AI80" s="238"/>
      <c r="AJ80" s="238"/>
      <c r="AK80" s="238"/>
      <c r="AL80" s="238"/>
      <c r="AM80" s="273"/>
    </row>
    <row r="81" spans="1:51" ht="9.75" customHeight="1" thickBot="1">
      <c r="A81" s="172"/>
      <c r="B81" s="271"/>
      <c r="C81" s="934" t="s">
        <v>165</v>
      </c>
      <c r="D81" s="933"/>
      <c r="E81" s="1126" t="s">
        <v>2143</v>
      </c>
      <c r="F81" s="1127"/>
      <c r="G81" s="1127"/>
      <c r="H81" s="1127"/>
      <c r="I81" s="1127"/>
      <c r="J81" s="1127"/>
      <c r="K81" s="1127"/>
      <c r="L81" s="1127"/>
      <c r="M81" s="1127"/>
      <c r="N81" s="1127"/>
      <c r="O81" s="1127"/>
      <c r="P81" s="1127"/>
      <c r="Q81" s="1127"/>
      <c r="R81" s="1127"/>
      <c r="S81" s="1127"/>
      <c r="T81" s="1128"/>
      <c r="U81" s="1008"/>
      <c r="V81" s="1009"/>
      <c r="W81" s="1009"/>
      <c r="X81" s="1009"/>
      <c r="Y81" s="1010"/>
      <c r="Z81" s="1178" t="s">
        <v>1</v>
      </c>
      <c r="AA81" s="1111" t="s">
        <v>166</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2301</v>
      </c>
      <c r="AC82" s="1132">
        <f>IFERROR(U83/U81*100,0)</f>
        <v>0</v>
      </c>
      <c r="AD82" s="1133"/>
      <c r="AE82" s="1134"/>
      <c r="AF82" s="1011" t="s">
        <v>138</v>
      </c>
      <c r="AG82" s="1011" t="s">
        <v>25</v>
      </c>
      <c r="AH82" s="1014" t="s">
        <v>166</v>
      </c>
      <c r="AI82" s="1005" t="str">
        <f>IF('別紙様式2-2（４・５月分）'!AV7="新規ベア加算なし","",IF(U81=0,"",IF(AND(AC82&gt;=200/3,AC82&lt;=100),"○","×")))</f>
        <v/>
      </c>
      <c r="AJ82" s="238"/>
      <c r="AK82" s="172"/>
      <c r="AL82" s="238"/>
      <c r="AM82" s="784" t="s">
        <v>2384</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2380</v>
      </c>
      <c r="G83" s="813"/>
      <c r="H83" s="813"/>
      <c r="I83" s="813"/>
      <c r="J83" s="813"/>
      <c r="K83" s="813"/>
      <c r="L83" s="813"/>
      <c r="M83" s="813"/>
      <c r="N83" s="813"/>
      <c r="O83" s="813"/>
      <c r="P83" s="813"/>
      <c r="Q83" s="813"/>
      <c r="R83" s="813"/>
      <c r="S83" s="813"/>
      <c r="T83" s="813"/>
      <c r="U83" s="806"/>
      <c r="V83" s="807"/>
      <c r="W83" s="807"/>
      <c r="X83" s="807"/>
      <c r="Y83" s="808"/>
      <c r="Z83" s="1180" t="s">
        <v>1</v>
      </c>
      <c r="AA83" s="1111" t="s">
        <v>166</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237</v>
      </c>
      <c r="D86" s="931"/>
      <c r="E86" s="1126" t="s">
        <v>2144</v>
      </c>
      <c r="F86" s="1127"/>
      <c r="G86" s="1127"/>
      <c r="H86" s="1127"/>
      <c r="I86" s="1127"/>
      <c r="J86" s="1127"/>
      <c r="K86" s="1127"/>
      <c r="L86" s="1127"/>
      <c r="M86" s="1127"/>
      <c r="N86" s="1127"/>
      <c r="O86" s="1127"/>
      <c r="P86" s="1127"/>
      <c r="Q86" s="1127"/>
      <c r="R86" s="1127"/>
      <c r="S86" s="1127"/>
      <c r="T86" s="1128"/>
      <c r="U86" s="1008"/>
      <c r="V86" s="1009"/>
      <c r="W86" s="1009"/>
      <c r="X86" s="1009"/>
      <c r="Y86" s="1010"/>
      <c r="Z86" s="1124" t="s">
        <v>1</v>
      </c>
      <c r="AA86" s="1111" t="s">
        <v>166</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2301</v>
      </c>
      <c r="AC87" s="1132">
        <f>IFERROR(U88/U86*100,0)</f>
        <v>0</v>
      </c>
      <c r="AD87" s="1133"/>
      <c r="AE87" s="1134"/>
      <c r="AF87" s="1011" t="s">
        <v>138</v>
      </c>
      <c r="AG87" s="1011" t="s">
        <v>25</v>
      </c>
      <c r="AH87" s="1014" t="s">
        <v>166</v>
      </c>
      <c r="AI87" s="1005" t="str">
        <f>IF('別紙様式2-2（４・５月分）'!AV7="新規ベア加算なし","",IF(U86=0,"",IF(AND(AC87&gt;=200/3,AC87&lt;=100),"○","×")))</f>
        <v/>
      </c>
      <c r="AJ87" s="238"/>
      <c r="AK87" s="238"/>
      <c r="AL87" s="238"/>
      <c r="AM87" s="784" t="s">
        <v>2385</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2381</v>
      </c>
      <c r="G88" s="813"/>
      <c r="H88" s="813"/>
      <c r="I88" s="813"/>
      <c r="J88" s="813"/>
      <c r="K88" s="813"/>
      <c r="L88" s="813"/>
      <c r="M88" s="813"/>
      <c r="N88" s="813"/>
      <c r="O88" s="813"/>
      <c r="P88" s="813"/>
      <c r="Q88" s="813"/>
      <c r="R88" s="813"/>
      <c r="S88" s="813"/>
      <c r="T88" s="813"/>
      <c r="U88" s="806"/>
      <c r="V88" s="807"/>
      <c r="W88" s="807"/>
      <c r="X88" s="807"/>
      <c r="Y88" s="808"/>
      <c r="Z88" s="804" t="s">
        <v>1</v>
      </c>
      <c r="AA88" s="1111" t="s">
        <v>166</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250</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251</v>
      </c>
      <c r="C93" s="224"/>
      <c r="D93" s="224"/>
      <c r="E93" s="224"/>
      <c r="F93" s="224"/>
      <c r="G93" s="224"/>
      <c r="H93" s="224"/>
      <c r="I93" s="224"/>
      <c r="J93" s="224"/>
      <c r="K93" s="224"/>
      <c r="L93" s="224"/>
      <c r="M93" s="224"/>
      <c r="N93" s="224"/>
      <c r="O93" s="224"/>
      <c r="P93" s="224"/>
      <c r="Q93" s="224"/>
      <c r="R93" s="286" t="s">
        <v>249</v>
      </c>
      <c r="S93" s="287" t="s">
        <v>2150</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B6="旧処遇加算Ⅰ・Ⅱ相当あり",'別紙様式2-4（年度内の区分変更がある場合に記入）'!AX7="旧処遇加算Ⅰ・Ⅱ相当あり"),"該当","")</f>
        <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2125</v>
      </c>
      <c r="C95" s="290"/>
      <c r="D95" s="290"/>
      <c r="E95" s="290"/>
      <c r="F95" s="290"/>
      <c r="G95" s="290"/>
      <c r="H95" s="290"/>
      <c r="I95" s="290"/>
      <c r="J95" s="290"/>
      <c r="K95" s="290"/>
      <c r="L95" s="290"/>
      <c r="M95" s="290"/>
      <c r="N95" s="290"/>
      <c r="O95" s="290"/>
      <c r="P95" s="290"/>
      <c r="Q95" s="290"/>
      <c r="R95" s="286" t="s">
        <v>249</v>
      </c>
      <c r="S95" s="287" t="s">
        <v>2151</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B6="旧処遇加算Ⅰ・Ⅱ相当なし",'別紙様式2-4（年度内の区分変更がある場合に記入）'!AX7="旧処遇加算Ⅰ・Ⅱ相当あり"),"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264</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252</v>
      </c>
      <c r="F98" s="842"/>
      <c r="G98" s="842"/>
      <c r="H98" s="842"/>
      <c r="I98" s="842"/>
      <c r="J98" s="842"/>
      <c r="K98" s="842"/>
      <c r="L98" s="842"/>
      <c r="M98" s="842"/>
      <c r="N98" s="842"/>
      <c r="O98" s="842"/>
      <c r="P98" s="842"/>
      <c r="Q98" s="842"/>
      <c r="R98" s="843"/>
      <c r="S98" s="293" t="s">
        <v>238</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2307</v>
      </c>
    </row>
    <row r="99" spans="1:51" s="183" customFormat="1" ht="16.5" customHeight="1">
      <c r="A99" s="182"/>
      <c r="B99" s="295"/>
      <c r="C99" s="296" t="s">
        <v>93</v>
      </c>
      <c r="D99" s="297" t="s">
        <v>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2313</v>
      </c>
      <c r="AO99" s="879"/>
      <c r="AP99" s="879"/>
    </row>
    <row r="100" spans="1:51" s="183" customFormat="1" ht="16.5" customHeight="1">
      <c r="A100" s="182"/>
      <c r="B100" s="295"/>
      <c r="C100" s="300" t="s">
        <v>94</v>
      </c>
      <c r="D100" s="301" t="s">
        <v>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0</v>
      </c>
      <c r="AN100" s="879" t="s">
        <v>2315</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2116</v>
      </c>
      <c r="D103" s="1174"/>
      <c r="E103" s="1174"/>
      <c r="F103" s="1174"/>
      <c r="G103" s="1174"/>
      <c r="H103" s="1174"/>
      <c r="I103" s="1174"/>
      <c r="J103" s="1174"/>
      <c r="K103" s="1174"/>
      <c r="L103" s="241"/>
      <c r="M103" s="840"/>
      <c r="N103" s="841"/>
      <c r="O103" s="937" t="s">
        <v>2105</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2253</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253</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255</v>
      </c>
      <c r="F106" s="842"/>
      <c r="G106" s="842"/>
      <c r="H106" s="842"/>
      <c r="I106" s="842"/>
      <c r="J106" s="842"/>
      <c r="K106" s="842"/>
      <c r="L106" s="842"/>
      <c r="M106" s="842"/>
      <c r="N106" s="842"/>
      <c r="O106" s="842"/>
      <c r="P106" s="842"/>
      <c r="Q106" s="842"/>
      <c r="R106" s="843"/>
      <c r="S106" s="293" t="s">
        <v>238</v>
      </c>
      <c r="T106" s="252" t="str">
        <f>IFERROR(IF(AND(AM107=TRUE,OR(AND(AR107=TRUE,J109&lt;&gt;""),AND(AR108=TRUE,J111&lt;&gt;""))),"○",IF(AND(AI95="該当",T98="○"),"","×")),"")</f>
        <v>×</v>
      </c>
      <c r="U106" s="315"/>
      <c r="V106" s="316"/>
      <c r="W106" s="316"/>
      <c r="X106" s="316"/>
      <c r="Y106" s="316"/>
      <c r="Z106" s="316"/>
      <c r="AA106" s="316"/>
      <c r="AB106" s="316"/>
      <c r="AC106" s="316"/>
      <c r="AD106" s="316"/>
      <c r="AE106" s="316"/>
      <c r="AF106" s="316"/>
      <c r="AG106" s="316"/>
      <c r="AH106" s="316"/>
      <c r="AI106" s="316"/>
      <c r="AJ106" s="316"/>
      <c r="AK106" s="316"/>
      <c r="AL106" s="313"/>
      <c r="AM106" s="232" t="s">
        <v>2307</v>
      </c>
    </row>
    <row r="107" spans="1:51" s="183" customFormat="1" ht="26.25" customHeight="1" thickBot="1">
      <c r="A107" s="182"/>
      <c r="B107" s="1213"/>
      <c r="C107" s="296" t="s">
        <v>33</v>
      </c>
      <c r="D107" s="1217" t="s">
        <v>259</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2313</v>
      </c>
      <c r="AO107" s="879"/>
      <c r="AP107" s="879"/>
      <c r="AQ107" s="175"/>
      <c r="AR107" s="170" t="b">
        <v>0</v>
      </c>
      <c r="AS107" s="879" t="s">
        <v>2316</v>
      </c>
      <c r="AT107" s="879"/>
      <c r="AU107" s="879"/>
    </row>
    <row r="108" spans="1:51" s="183" customFormat="1" ht="25.5" customHeight="1" thickBot="1">
      <c r="A108" s="182"/>
      <c r="B108" s="1213"/>
      <c r="C108" s="1091"/>
      <c r="D108" s="1068" t="s">
        <v>96</v>
      </c>
      <c r="E108" s="1069"/>
      <c r="F108" s="1069"/>
      <c r="G108" s="1069"/>
      <c r="H108" s="1220"/>
      <c r="I108" s="1172" t="s">
        <v>97</v>
      </c>
      <c r="J108" s="1074" t="s">
        <v>176</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0</v>
      </c>
      <c r="AN108" s="879" t="s">
        <v>2315</v>
      </c>
      <c r="AO108" s="879"/>
      <c r="AP108" s="879"/>
      <c r="AQ108" s="317"/>
      <c r="AR108" s="170" t="b">
        <v>0</v>
      </c>
      <c r="AS108" s="879" t="s">
        <v>2317</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2387</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172</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2388</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2386</v>
      </c>
      <c r="D114" s="1174"/>
      <c r="E114" s="1174"/>
      <c r="F114" s="1174"/>
      <c r="G114" s="1174"/>
      <c r="H114" s="1174"/>
      <c r="I114" s="1174"/>
      <c r="J114" s="1174"/>
      <c r="K114" s="1174"/>
      <c r="L114" s="241"/>
      <c r="M114" s="840"/>
      <c r="N114" s="841"/>
      <c r="O114" s="1205" t="s">
        <v>2117</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2252</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257</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3" customFormat="1" ht="17.25" customHeight="1" thickBot="1">
      <c r="A117" s="182"/>
      <c r="B117" s="327" t="s">
        <v>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2307</v>
      </c>
      <c r="AR117" s="170" t="b">
        <v>0</v>
      </c>
      <c r="AS117" s="879" t="s">
        <v>2316</v>
      </c>
      <c r="AT117" s="879"/>
      <c r="AU117" s="879"/>
    </row>
    <row r="118" spans="1:51" s="183" customFormat="1" ht="20.25" customHeight="1" thickBot="1">
      <c r="A118" s="182"/>
      <c r="B118" s="840"/>
      <c r="C118" s="841"/>
      <c r="D118" s="851" t="s">
        <v>255</v>
      </c>
      <c r="E118" s="851"/>
      <c r="F118" s="851"/>
      <c r="G118" s="851"/>
      <c r="H118" s="851"/>
      <c r="I118" s="851"/>
      <c r="J118" s="851"/>
      <c r="K118" s="851"/>
      <c r="L118" s="851"/>
      <c r="M118" s="851"/>
      <c r="N118" s="851"/>
      <c r="O118" s="851"/>
      <c r="P118" s="851"/>
      <c r="Q118" s="852"/>
      <c r="R118" s="330" t="s">
        <v>238</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2313</v>
      </c>
      <c r="AO118" s="879"/>
      <c r="AP118" s="879"/>
      <c r="AR118" s="170" t="b">
        <v>0</v>
      </c>
      <c r="AS118" s="879" t="s">
        <v>2317</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0</v>
      </c>
      <c r="AN119" s="879" t="s">
        <v>2315</v>
      </c>
      <c r="AO119" s="879"/>
      <c r="AP119" s="879"/>
      <c r="AR119" s="170" t="b">
        <v>0</v>
      </c>
      <c r="AS119" s="879" t="s">
        <v>2318</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2389</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2390</v>
      </c>
      <c r="C125" s="1204"/>
      <c r="D125" s="1204"/>
      <c r="E125" s="1204"/>
      <c r="F125" s="1204"/>
      <c r="G125" s="1204"/>
      <c r="H125" s="1204"/>
      <c r="I125" s="1204"/>
      <c r="J125" s="1204"/>
      <c r="K125" s="1204"/>
      <c r="L125" s="241"/>
      <c r="M125" s="840"/>
      <c r="N125" s="841"/>
      <c r="O125" s="1122" t="s">
        <v>2106</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2251</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256</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2118</v>
      </c>
      <c r="C129" s="842"/>
      <c r="D129" s="842"/>
      <c r="E129" s="842"/>
      <c r="F129" s="842"/>
      <c r="G129" s="842"/>
      <c r="H129" s="842"/>
      <c r="I129" s="842"/>
      <c r="J129" s="842"/>
      <c r="K129" s="842"/>
      <c r="L129" s="842"/>
      <c r="M129" s="842"/>
      <c r="N129" s="842"/>
      <c r="O129" s="842"/>
      <c r="P129" s="842"/>
      <c r="Q129" s="843"/>
      <c r="R129" s="341" t="s">
        <v>249</v>
      </c>
      <c r="S129" s="342" t="str">
        <f>'別紙様式2-2（４・５月分）'!AL11</f>
        <v/>
      </c>
      <c r="T129" s="1222" t="s">
        <v>2395</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
      </c>
      <c r="AX129" s="210"/>
    </row>
    <row r="130" spans="1:52" ht="17.25" customHeight="1" thickBot="1">
      <c r="A130" s="172"/>
      <c r="B130" s="1116" t="s">
        <v>2393</v>
      </c>
      <c r="C130" s="1117"/>
      <c r="D130" s="1117"/>
      <c r="E130" s="1117"/>
      <c r="F130" s="1117"/>
      <c r="G130" s="1117"/>
      <c r="H130" s="1117"/>
      <c r="I130" s="1117"/>
      <c r="J130" s="1117"/>
      <c r="K130" s="1117"/>
      <c r="L130" s="1117"/>
      <c r="M130" s="1117"/>
      <c r="N130" s="1117"/>
      <c r="O130" s="1117"/>
      <c r="P130" s="1117"/>
      <c r="Q130" s="1118"/>
      <c r="R130" s="341" t="s">
        <v>249</v>
      </c>
      <c r="S130" s="342" t="str">
        <f>'別紙様式2-3（６月以降分）'!AR11</f>
        <v/>
      </c>
      <c r="T130" s="1222" t="s">
        <v>2396</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2394</v>
      </c>
      <c r="C131" s="1117"/>
      <c r="D131" s="1117"/>
      <c r="E131" s="1117"/>
      <c r="F131" s="1117"/>
      <c r="G131" s="1117"/>
      <c r="H131" s="1117"/>
      <c r="I131" s="1117"/>
      <c r="J131" s="1117"/>
      <c r="K131" s="1117"/>
      <c r="L131" s="1117"/>
      <c r="M131" s="1117"/>
      <c r="N131" s="1117"/>
      <c r="O131" s="1117"/>
      <c r="P131" s="1117"/>
      <c r="Q131" s="1118"/>
      <c r="R131" s="341" t="s">
        <v>249</v>
      </c>
      <c r="S131" s="342" t="str">
        <f>'別紙様式2-4（年度内の区分変更がある場合に記入）'!AR11</f>
        <v/>
      </c>
      <c r="T131" s="1222" t="s">
        <v>2397</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
      </c>
      <c r="AL133" s="172"/>
      <c r="AM133" s="824" t="s">
        <v>2400</v>
      </c>
      <c r="AN133" s="881"/>
      <c r="AO133" s="881"/>
      <c r="AP133" s="881"/>
      <c r="AQ133" s="881"/>
      <c r="AR133" s="881"/>
      <c r="AS133" s="881"/>
      <c r="AT133" s="881"/>
      <c r="AU133" s="881"/>
      <c r="AV133" s="881"/>
      <c r="AW133" s="881"/>
      <c r="AX133" s="881"/>
      <c r="AY133" s="882"/>
    </row>
    <row r="134" spans="1:52" s="183" customFormat="1" ht="14.25" customHeight="1">
      <c r="A134" s="182"/>
      <c r="B134" s="347" t="s">
        <v>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0</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2391</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2124</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72"/>
      <c r="B141" s="295" t="s">
        <v>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2120</v>
      </c>
      <c r="C142" s="860"/>
      <c r="D142" s="860"/>
      <c r="E142" s="860"/>
      <c r="F142" s="860"/>
      <c r="G142" s="860"/>
      <c r="H142" s="860"/>
      <c r="I142" s="860"/>
      <c r="J142" s="860"/>
      <c r="K142" s="860"/>
      <c r="L142" s="860"/>
      <c r="M142" s="860"/>
      <c r="N142" s="860"/>
      <c r="O142" s="860"/>
      <c r="P142" s="860"/>
      <c r="Q142" s="861"/>
      <c r="R142" s="341" t="s">
        <v>249</v>
      </c>
      <c r="S142" s="368" t="str">
        <f>IF('別紙様式2-2（４・５月分）'!AM11="未入力あり","×",'別紙様式2-2（４・５月分）'!AM11)</f>
        <v/>
      </c>
      <c r="T142" s="1222" t="s">
        <v>2122</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2121</v>
      </c>
      <c r="C143" s="856"/>
      <c r="D143" s="856"/>
      <c r="E143" s="856"/>
      <c r="F143" s="856"/>
      <c r="G143" s="856"/>
      <c r="H143" s="856"/>
      <c r="I143" s="856"/>
      <c r="J143" s="856"/>
      <c r="K143" s="856"/>
      <c r="L143" s="856"/>
      <c r="M143" s="856"/>
      <c r="N143" s="856"/>
      <c r="O143" s="856"/>
      <c r="P143" s="856"/>
      <c r="Q143" s="857"/>
      <c r="R143" s="341" t="s">
        <v>249</v>
      </c>
      <c r="S143" s="369" t="str">
        <f>IF('別紙様式2-3（６月以降分）'!AS11="未入力あり","×",'別紙様式2-3（６月以降分）'!AS11)</f>
        <v/>
      </c>
      <c r="T143" s="1224" t="s">
        <v>2123</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2320</v>
      </c>
      <c r="C144" s="856"/>
      <c r="D144" s="856"/>
      <c r="E144" s="856"/>
      <c r="F144" s="856"/>
      <c r="G144" s="856"/>
      <c r="H144" s="856"/>
      <c r="I144" s="856"/>
      <c r="J144" s="856"/>
      <c r="K144" s="856"/>
      <c r="L144" s="856"/>
      <c r="M144" s="856"/>
      <c r="N144" s="856"/>
      <c r="O144" s="856"/>
      <c r="P144" s="856"/>
      <c r="Q144" s="857"/>
      <c r="R144" s="341" t="s">
        <v>249</v>
      </c>
      <c r="S144" s="369" t="str">
        <f>IF('別紙様式2-4（年度内の区分変更がある場合に記入）'!AS11="未入力あり","×",'別紙様式2-4（年度内の区分変更がある場合に記入）'!AS11)</f>
        <v/>
      </c>
      <c r="T144" s="1224" t="s">
        <v>2321</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258</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該当</v>
      </c>
      <c r="AJ147" s="920"/>
      <c r="AK147" s="921"/>
      <c r="AL147" s="182"/>
    </row>
    <row r="148" spans="1:51" s="183" customFormat="1" ht="28.5" customHeight="1">
      <c r="A148" s="182"/>
      <c r="B148" s="270" t="s">
        <v>249</v>
      </c>
      <c r="C148" s="1040" t="s">
        <v>2126</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
      </c>
      <c r="AJ150" s="1120"/>
      <c r="AK150" s="1121"/>
      <c r="AL150" s="182"/>
    </row>
    <row r="151" spans="1:51" s="183" customFormat="1" ht="39" customHeight="1">
      <c r="A151" s="182"/>
      <c r="B151" s="270" t="s">
        <v>249</v>
      </c>
      <c r="C151" s="1040" t="s">
        <v>2161</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2314</v>
      </c>
      <c r="AN153" s="824" t="s">
        <v>2255</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2256</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0</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2256</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0</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2256</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0</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0</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2256</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0</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0</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0</v>
      </c>
      <c r="AN171" s="818" t="s">
        <v>2256</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2256</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2135</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
      </c>
      <c r="AL180" s="172"/>
    </row>
    <row r="181" spans="1:55" s="389" customFormat="1" ht="25.5" customHeight="1">
      <c r="A181" s="385"/>
      <c r="B181" s="1085" t="s">
        <v>22</v>
      </c>
      <c r="C181" s="1086"/>
      <c r="D181" s="1086"/>
      <c r="E181" s="1087" t="b">
        <v>0</v>
      </c>
      <c r="F181" s="373"/>
      <c r="G181" s="1140" t="s">
        <v>2272</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0</v>
      </c>
      <c r="AN181" s="818" t="s">
        <v>2248</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2273</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2231</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2235</v>
      </c>
      <c r="AF186" s="1060"/>
      <c r="AG186" s="1060"/>
      <c r="AH186" s="1060"/>
      <c r="AI186" s="1060"/>
      <c r="AJ186" s="1061"/>
      <c r="AK186" s="371" t="str">
        <f>IF(AND(AM187=TRUE,OR(Q20=0,AM188=TRUE),AM189=TRUE,AM190=TRUE,AM191=TRUE,AM192=TRUE),"○","×")</f>
        <v>×</v>
      </c>
      <c r="AL186" s="172"/>
      <c r="AM186" s="824" t="s">
        <v>2257</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2234</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2236</v>
      </c>
      <c r="AF187" s="1063"/>
      <c r="AG187" s="1063"/>
      <c r="AH187" s="1063"/>
      <c r="AI187" s="1063"/>
      <c r="AJ187" s="1063"/>
      <c r="AK187" s="1064"/>
      <c r="AL187" s="172"/>
      <c r="AM187" s="171" t="b">
        <v>0</v>
      </c>
      <c r="AN187" s="317"/>
      <c r="AO187" s="317"/>
      <c r="AP187" s="317"/>
      <c r="AQ187" s="317"/>
      <c r="AR187" s="317"/>
      <c r="AS187" s="317"/>
      <c r="AT187" s="317"/>
      <c r="AU187" s="317"/>
      <c r="AV187" s="317"/>
    </row>
    <row r="188" spans="1:55" s="183" customFormat="1" ht="35.25" customHeight="1">
      <c r="A188" s="182"/>
      <c r="B188" s="382"/>
      <c r="C188" s="1185" t="s">
        <v>2244</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2236</v>
      </c>
      <c r="AF188" s="1066"/>
      <c r="AG188" s="1066"/>
      <c r="AH188" s="1066"/>
      <c r="AI188" s="1066"/>
      <c r="AJ188" s="1066"/>
      <c r="AK188" s="1067"/>
      <c r="AL188" s="172"/>
      <c r="AM188" s="170" t="b">
        <v>0</v>
      </c>
      <c r="AN188" s="317"/>
      <c r="AO188" s="317"/>
      <c r="AP188" s="317"/>
      <c r="AQ188" s="317"/>
      <c r="AR188" s="317"/>
      <c r="AS188" s="317"/>
      <c r="AT188" s="317"/>
      <c r="AU188" s="317"/>
      <c r="AV188" s="317"/>
    </row>
    <row r="189" spans="1:55" s="183" customFormat="1" ht="37.5" customHeight="1">
      <c r="A189" s="182"/>
      <c r="B189" s="382"/>
      <c r="C189" s="1138" t="s">
        <v>2238</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2237</v>
      </c>
      <c r="AF189" s="1066"/>
      <c r="AG189" s="1066"/>
      <c r="AH189" s="1066"/>
      <c r="AI189" s="1066"/>
      <c r="AJ189" s="1066"/>
      <c r="AK189" s="1067"/>
      <c r="AL189" s="172"/>
      <c r="AM189" s="170" t="b">
        <v>0</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0</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0</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2162</v>
      </c>
      <c r="C194" s="398" t="s">
        <v>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2162</v>
      </c>
      <c r="C195" s="1054" t="s">
        <v>2293</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2249</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c r="F200" s="1049"/>
      <c r="G200" s="407" t="s">
        <v>4</v>
      </c>
      <c r="H200" s="1048"/>
      <c r="I200" s="1049"/>
      <c r="J200" s="407" t="s">
        <v>3</v>
      </c>
      <c r="K200" s="1048"/>
      <c r="L200" s="1049"/>
      <c r="M200" s="407" t="s">
        <v>2</v>
      </c>
      <c r="N200" s="395"/>
      <c r="O200" s="1050" t="s">
        <v>5</v>
      </c>
      <c r="P200" s="1050"/>
      <c r="Q200" s="1050"/>
      <c r="R200" s="923" t="str">
        <f>IF(H7="","",H7)</f>
        <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c r="U201" s="1051"/>
      <c r="V201" s="1051"/>
      <c r="W201" s="1051"/>
      <c r="X201" s="1051"/>
      <c r="Y201" s="877" t="s">
        <v>53</v>
      </c>
      <c r="Z201" s="877"/>
      <c r="AA201" s="1051"/>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169</v>
      </c>
      <c r="C204" s="421"/>
      <c r="D204" s="182"/>
      <c r="E204" s="182"/>
      <c r="F204" s="180"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2162</v>
      </c>
      <c r="C206" s="399" t="s">
        <v>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2132</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179</v>
      </c>
      <c r="C209" s="1106" t="s">
        <v>2232</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2222</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2233</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2240</v>
      </c>
      <c r="C212" s="1045" t="s">
        <v>2133</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2241</v>
      </c>
      <c r="C213" s="1042" t="s">
        <v>2134</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2128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179</v>
      </c>
      <c r="C216" s="1182" t="s">
        <v>2141</v>
      </c>
      <c r="D216" s="1183"/>
      <c r="E216" s="1183"/>
      <c r="F216" s="1183"/>
      <c r="G216" s="1183"/>
      <c r="H216" s="1183"/>
      <c r="I216" s="1184"/>
      <c r="J216" s="915" t="s">
        <v>2165</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2348</v>
      </c>
      <c r="C217" s="847" t="s">
        <v>2145</v>
      </c>
      <c r="D217" s="847"/>
      <c r="E217" s="847"/>
      <c r="F217" s="847"/>
      <c r="G217" s="847"/>
      <c r="H217" s="847"/>
      <c r="I217" s="847"/>
      <c r="J217" s="845" t="s">
        <v>2152</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2149</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2146</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
      </c>
      <c r="AL219" s="431"/>
      <c r="AM219" s="175"/>
    </row>
    <row r="220" spans="1:56" s="389" customFormat="1" ht="25.5" customHeight="1">
      <c r="A220" s="385"/>
      <c r="B220" s="912"/>
      <c r="C220" s="847"/>
      <c r="D220" s="847"/>
      <c r="E220" s="847"/>
      <c r="F220" s="847"/>
      <c r="G220" s="847"/>
      <c r="H220" s="847"/>
      <c r="I220" s="847"/>
      <c r="J220" s="845" t="s">
        <v>2147</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
      </c>
      <c r="AL220" s="431"/>
      <c r="AM220" s="175"/>
    </row>
    <row r="221" spans="1:56" s="389" customFormat="1" ht="48.75" customHeight="1">
      <c r="A221" s="385"/>
      <c r="B221" s="912" t="s">
        <v>2241</v>
      </c>
      <c r="C221" s="847" t="s">
        <v>2136</v>
      </c>
      <c r="D221" s="847"/>
      <c r="E221" s="847"/>
      <c r="F221" s="847"/>
      <c r="G221" s="847"/>
      <c r="H221" s="847"/>
      <c r="I221" s="847"/>
      <c r="J221" s="845" t="s">
        <v>2153</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2154</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2349</v>
      </c>
      <c r="C223" s="847" t="s">
        <v>2137</v>
      </c>
      <c r="D223" s="847"/>
      <c r="E223" s="847"/>
      <c r="F223" s="847"/>
      <c r="G223" s="847"/>
      <c r="H223" s="847"/>
      <c r="I223" s="847"/>
      <c r="J223" s="845" t="s">
        <v>2155</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2350</v>
      </c>
      <c r="C224" s="847" t="s">
        <v>2138</v>
      </c>
      <c r="D224" s="847"/>
      <c r="E224" s="847"/>
      <c r="F224" s="847"/>
      <c r="G224" s="847"/>
      <c r="H224" s="847"/>
      <c r="I224" s="847"/>
      <c r="J224" s="845" t="s">
        <v>2156</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2351</v>
      </c>
      <c r="C225" s="847" t="s">
        <v>2139</v>
      </c>
      <c r="D225" s="847"/>
      <c r="E225" s="847"/>
      <c r="F225" s="847"/>
      <c r="G225" s="847"/>
      <c r="H225" s="847"/>
      <c r="I225" s="847"/>
      <c r="J225" s="915" t="s">
        <v>2157</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
      </c>
      <c r="AL225" s="432"/>
      <c r="AM225" s="175"/>
    </row>
    <row r="226" spans="1:56" s="183" customFormat="1">
      <c r="A226" s="182"/>
      <c r="B226" s="912" t="s">
        <v>2352</v>
      </c>
      <c r="C226" s="847" t="s">
        <v>2140</v>
      </c>
      <c r="D226" s="847"/>
      <c r="E226" s="847"/>
      <c r="F226" s="847"/>
      <c r="G226" s="847"/>
      <c r="H226" s="847"/>
      <c r="I226" s="847"/>
      <c r="J226" s="915" t="s">
        <v>2158</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2159</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2160</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2275</v>
      </c>
      <c r="C230" s="838" t="s">
        <v>180</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2275</v>
      </c>
      <c r="C231" s="790" t="s">
        <v>2274</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321" t="s">
        <v>5</v>
      </c>
      <c r="B3" s="1321"/>
      <c r="C3" s="1322"/>
      <c r="D3" s="1318" t="str">
        <f>IF(基本情報入力シート!M38="","",基本情報入力シート!M38)</f>
        <v/>
      </c>
      <c r="E3" s="1319"/>
      <c r="F3" s="1319"/>
      <c r="G3" s="1319"/>
      <c r="H3" s="1319"/>
      <c r="I3" s="1319"/>
      <c r="J3" s="1320"/>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59" t="s">
        <v>2363</v>
      </c>
      <c r="B5" s="1260"/>
      <c r="C5" s="1260"/>
      <c r="D5" s="1260"/>
      <c r="E5" s="1260"/>
      <c r="F5" s="1260"/>
      <c r="G5" s="1260"/>
      <c r="H5" s="1260"/>
      <c r="I5" s="1260"/>
      <c r="J5" s="1261"/>
      <c r="K5" s="513">
        <f>IFERROR(SUMIF(N:N, "処遇改善加算", AE:AE),"")</f>
        <v>0</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59" t="s">
        <v>2364</v>
      </c>
      <c r="B6" s="1260"/>
      <c r="C6" s="1260"/>
      <c r="D6" s="1260"/>
      <c r="E6" s="1260"/>
      <c r="F6" s="1260"/>
      <c r="G6" s="1260"/>
      <c r="H6" s="1260"/>
      <c r="I6" s="1260"/>
      <c r="J6" s="1261"/>
      <c r="K6" s="146">
        <f>IFERROR(SUMIF(N:N, "特定加算", AE:AE),"")</f>
        <v>0</v>
      </c>
      <c r="L6" s="514" t="s">
        <v>1</v>
      </c>
      <c r="M6" s="508"/>
      <c r="N6" s="508"/>
      <c r="O6" s="515"/>
      <c r="P6" s="516"/>
      <c r="Q6" s="515"/>
      <c r="R6" s="516"/>
      <c r="S6" s="508"/>
      <c r="T6" s="508"/>
      <c r="U6" s="508"/>
      <c r="V6" s="508"/>
      <c r="W6" s="508"/>
      <c r="X6" s="508"/>
      <c r="Y6" s="508"/>
      <c r="Z6" s="508"/>
      <c r="AA6" s="508"/>
      <c r="AB6" s="508"/>
      <c r="AC6" s="508"/>
      <c r="AD6" s="508"/>
      <c r="AE6" s="517"/>
      <c r="AF6" s="517"/>
      <c r="AG6" s="518" t="s">
        <v>2114</v>
      </c>
      <c r="AH6" s="172"/>
      <c r="AI6" s="172"/>
      <c r="AJ6" s="172"/>
      <c r="AK6" s="172"/>
      <c r="AL6" s="172"/>
      <c r="AM6" s="283"/>
      <c r="AP6" s="519"/>
      <c r="AR6" s="503"/>
    </row>
    <row r="7" spans="1:213" ht="32.25" customHeight="1" thickBot="1">
      <c r="A7" s="1262" t="s">
        <v>2365</v>
      </c>
      <c r="B7" s="1260"/>
      <c r="C7" s="1260"/>
      <c r="D7" s="1260"/>
      <c r="E7" s="1260"/>
      <c r="F7" s="1260"/>
      <c r="G7" s="1260"/>
      <c r="H7" s="1260"/>
      <c r="I7" s="1260"/>
      <c r="J7" s="1261"/>
      <c r="K7" s="520">
        <f>IFERROR(SUMIF(N:N, "ベースアップ等加算", AE:AE),"")</f>
        <v>0</v>
      </c>
      <c r="L7" s="514" t="s">
        <v>1</v>
      </c>
      <c r="M7" s="508"/>
      <c r="N7" s="521"/>
      <c r="O7" s="522"/>
      <c r="P7" s="523"/>
      <c r="Q7" s="522"/>
      <c r="R7" s="523"/>
      <c r="S7" s="524"/>
      <c r="T7" s="524"/>
      <c r="U7" s="524"/>
      <c r="V7" s="524"/>
      <c r="W7" s="524"/>
      <c r="X7" s="524"/>
      <c r="Y7" s="524"/>
      <c r="Z7" s="524"/>
      <c r="AA7" s="524"/>
      <c r="AB7" s="524"/>
      <c r="AC7" s="172"/>
      <c r="AD7" s="172"/>
      <c r="AE7" s="500"/>
      <c r="AF7" s="500"/>
      <c r="AG7" s="1237" t="s">
        <v>2112</v>
      </c>
      <c r="AH7" s="1238"/>
      <c r="AI7" s="1238"/>
      <c r="AJ7" s="1238"/>
      <c r="AK7" s="1239"/>
      <c r="AL7" s="525">
        <f>SUMIF(N:N,"特定加算",AL:AL)</f>
        <v>0</v>
      </c>
      <c r="AM7" s="283"/>
      <c r="AQ7" s="526" t="s">
        <v>2203</v>
      </c>
      <c r="AR7" s="527" t="str">
        <f>IF(COUNTIF(Q:Q,"処遇加算Ⅰ")&gt;=1,"処遇加算Ⅰあり","処遇加算Ⅰなし")</f>
        <v>処遇加算Ⅰなし</v>
      </c>
      <c r="AS7" s="1247" t="str">
        <f>IF((COUNTIF(Q:Q,"特定加算Ⅰ")+COUNTIF(Q:Q,"特定加算Ⅱ"))&gt;=1,"特定加算あり","特定加算なし")</f>
        <v>特定加算なし</v>
      </c>
      <c r="AT7" s="1247"/>
      <c r="AU7" s="1247"/>
      <c r="AV7" s="1247" t="str">
        <f>IF(COUNTIFS(O:O,"ベア加算なし",Q:Q,"ベア加算")&gt;=1,"新規ベア加算あり","新規ベア加算なし")</f>
        <v>新規ベア加算なし</v>
      </c>
      <c r="AW7" s="1247"/>
      <c r="AX7" s="1247"/>
    </row>
    <row r="8" spans="1:213" ht="38.25" customHeight="1" thickBot="1">
      <c r="A8" s="528"/>
      <c r="B8" s="529"/>
      <c r="C8" s="1328" t="s">
        <v>2359</v>
      </c>
      <c r="D8" s="1328"/>
      <c r="E8" s="1328"/>
      <c r="F8" s="1328"/>
      <c r="G8" s="1328"/>
      <c r="H8" s="1328"/>
      <c r="I8" s="1328"/>
      <c r="J8" s="1329"/>
      <c r="K8" s="520">
        <f>IFERROR(SUMIF(N:N, "ベースアップ等加算",AG:AG),"")</f>
        <v>0</v>
      </c>
      <c r="L8" s="514" t="s">
        <v>1</v>
      </c>
      <c r="M8" s="508"/>
      <c r="N8" s="524"/>
      <c r="O8" s="522"/>
      <c r="P8" s="523"/>
      <c r="Q8" s="522"/>
      <c r="R8" s="523"/>
      <c r="S8" s="524"/>
      <c r="T8" s="524"/>
      <c r="U8" s="524"/>
      <c r="V8" s="524"/>
      <c r="W8" s="524"/>
      <c r="X8" s="524"/>
      <c r="Y8" s="524"/>
      <c r="Z8" s="524"/>
      <c r="AA8" s="524"/>
      <c r="AB8" s="524"/>
      <c r="AC8" s="172"/>
      <c r="AD8" s="172"/>
      <c r="AE8" s="500"/>
      <c r="AF8" s="500"/>
      <c r="AG8" s="1237" t="s">
        <v>2342</v>
      </c>
      <c r="AH8" s="1238"/>
      <c r="AI8" s="1238"/>
      <c r="AJ8" s="1238"/>
      <c r="AK8" s="1239"/>
      <c r="AL8" s="525">
        <f>SUM(AW:AW)</f>
        <v>0</v>
      </c>
      <c r="AM8" s="283"/>
      <c r="AQ8" s="526" t="s">
        <v>2204</v>
      </c>
      <c r="AR8" s="527" t="str">
        <f>IF((COUNTIF(Q:Q,"処遇加算Ⅰ")+COUNTIF(Q:Q,"処遇加算Ⅱ"))&gt;=1,"処遇加算Ⅰ・Ⅱあり","処遇加算Ⅰ・Ⅱなし")</f>
        <v>処遇加算Ⅰ・Ⅱなし</v>
      </c>
      <c r="AS8" s="1247" t="str">
        <f>IF(COUNTIF(Q:Q,"特定加算Ⅰ")&gt;=1,"特定加算Ⅰあり","特定加算Ⅰなし")</f>
        <v>特定加算Ⅰなし</v>
      </c>
      <c r="AT8" s="1247"/>
      <c r="AU8" s="1247"/>
      <c r="AV8" s="1247" t="str">
        <f>IF(COUNTIFS(O:O,"ベア加算",Q:Q,"ベア加算")&gt;=1,"継続ベア加算あり","継続ベア加算なし")</f>
        <v>継続ベア加算なし</v>
      </c>
      <c r="AW8" s="1247"/>
      <c r="AX8" s="1247"/>
    </row>
    <row r="9" spans="1:213" ht="36" customHeight="1" thickBot="1">
      <c r="A9" s="1263" t="s">
        <v>2358</v>
      </c>
      <c r="B9" s="1263"/>
      <c r="C9" s="1263"/>
      <c r="D9" s="1263"/>
      <c r="E9" s="1263"/>
      <c r="F9" s="1263"/>
      <c r="G9" s="1263"/>
      <c r="H9" s="1263"/>
      <c r="I9" s="1263"/>
      <c r="J9" s="1263"/>
      <c r="K9" s="520">
        <f>SUM(AF:AF)</f>
        <v>0</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3" t="s">
        <v>2371</v>
      </c>
      <c r="B10" s="1293"/>
      <c r="C10" s="1293"/>
      <c r="D10" s="1293"/>
      <c r="E10" s="1293"/>
      <c r="F10" s="1293"/>
      <c r="G10" s="1293"/>
      <c r="H10" s="1293"/>
      <c r="I10" s="1293"/>
      <c r="J10" s="1293"/>
      <c r="K10" s="1293"/>
      <c r="L10" s="129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4"/>
      <c r="B11" s="1294"/>
      <c r="C11" s="1294"/>
      <c r="D11" s="1294"/>
      <c r="E11" s="1294"/>
      <c r="F11" s="1294"/>
      <c r="G11" s="1294"/>
      <c r="H11" s="1294"/>
      <c r="I11" s="1294"/>
      <c r="J11" s="1294"/>
      <c r="K11" s="1294"/>
      <c r="L11" s="129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未入力あり</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
      </c>
      <c r="AM11" s="541" t="str">
        <f>IF(AS8="特定加算Ⅰなし","",IF(COUNTIF(AX:AX,"未入力")=0,"○","未入力あり"))</f>
        <v/>
      </c>
      <c r="AN11" s="542" t="s">
        <v>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323"/>
      <c r="B12" s="1279" t="s">
        <v>2328</v>
      </c>
      <c r="C12" s="1280"/>
      <c r="D12" s="1280"/>
      <c r="E12" s="1280"/>
      <c r="F12" s="1281"/>
      <c r="G12" s="1285" t="s">
        <v>63</v>
      </c>
      <c r="H12" s="1297" t="s">
        <v>88</v>
      </c>
      <c r="I12" s="1297"/>
      <c r="J12" s="1287" t="s">
        <v>69</v>
      </c>
      <c r="K12" s="1289" t="s">
        <v>40</v>
      </c>
      <c r="L12" s="1291" t="s">
        <v>2175</v>
      </c>
      <c r="M12" s="1295" t="s">
        <v>67</v>
      </c>
      <c r="N12" s="1257" t="s">
        <v>188</v>
      </c>
      <c r="O12" s="1242" t="s">
        <v>2213</v>
      </c>
      <c r="P12" s="1243"/>
      <c r="Q12" s="1243" t="s">
        <v>2212</v>
      </c>
      <c r="R12" s="1243"/>
      <c r="S12" s="1243"/>
      <c r="T12" s="1243"/>
      <c r="U12" s="1243"/>
      <c r="V12" s="1243"/>
      <c r="W12" s="1243"/>
      <c r="X12" s="1243"/>
      <c r="Y12" s="1243"/>
      <c r="Z12" s="1243"/>
      <c r="AA12" s="1243"/>
      <c r="AB12" s="1243"/>
      <c r="AC12" s="1243"/>
      <c r="AD12" s="1243"/>
      <c r="AE12" s="1244"/>
      <c r="AF12" s="1245" t="s">
        <v>2362</v>
      </c>
      <c r="AG12" s="1248" t="s">
        <v>2199</v>
      </c>
      <c r="AH12" s="1249"/>
      <c r="AI12" s="1253" t="s">
        <v>241</v>
      </c>
      <c r="AJ12" s="1254"/>
      <c r="AK12" s="543" t="s">
        <v>235</v>
      </c>
      <c r="AL12" s="543" t="s">
        <v>239</v>
      </c>
      <c r="AM12" s="544" t="s">
        <v>240</v>
      </c>
      <c r="AN12" s="1330" t="s">
        <v>2327</v>
      </c>
      <c r="AY12" s="1332" t="s">
        <v>2360</v>
      </c>
    </row>
    <row r="13" spans="1:213" ht="127.5" customHeight="1" thickBot="1">
      <c r="A13" s="1324"/>
      <c r="B13" s="1282"/>
      <c r="C13" s="1283"/>
      <c r="D13" s="1283"/>
      <c r="E13" s="1283"/>
      <c r="F13" s="1284"/>
      <c r="G13" s="1286"/>
      <c r="H13" s="545" t="s">
        <v>2401</v>
      </c>
      <c r="I13" s="545" t="s">
        <v>2330</v>
      </c>
      <c r="J13" s="1288"/>
      <c r="K13" s="1290"/>
      <c r="L13" s="1292"/>
      <c r="M13" s="1296"/>
      <c r="N13" s="1258"/>
      <c r="O13" s="546" t="s">
        <v>2336</v>
      </c>
      <c r="P13" s="547" t="s">
        <v>2113</v>
      </c>
      <c r="Q13" s="546" t="s">
        <v>2216</v>
      </c>
      <c r="R13" s="547" t="s">
        <v>177</v>
      </c>
      <c r="S13" s="1250" t="s">
        <v>2335</v>
      </c>
      <c r="T13" s="1251"/>
      <c r="U13" s="1251"/>
      <c r="V13" s="1251"/>
      <c r="W13" s="1251"/>
      <c r="X13" s="1251"/>
      <c r="Y13" s="1251"/>
      <c r="Z13" s="1251"/>
      <c r="AA13" s="1251"/>
      <c r="AB13" s="1251"/>
      <c r="AC13" s="1251"/>
      <c r="AD13" s="1252"/>
      <c r="AE13" s="548" t="s">
        <v>2294</v>
      </c>
      <c r="AF13" s="1246"/>
      <c r="AG13" s="549" t="s">
        <v>2200</v>
      </c>
      <c r="AH13" s="550" t="s">
        <v>2201</v>
      </c>
      <c r="AI13" s="551" t="s">
        <v>2332</v>
      </c>
      <c r="AJ13" s="550" t="s">
        <v>2333</v>
      </c>
      <c r="AK13" s="552" t="s">
        <v>234</v>
      </c>
      <c r="AL13" s="552" t="s">
        <v>2344</v>
      </c>
      <c r="AM13" s="553" t="s">
        <v>2337</v>
      </c>
      <c r="AN13" s="1331"/>
      <c r="AO13" s="554"/>
      <c r="AP13" s="555" t="s">
        <v>2207</v>
      </c>
      <c r="AQ13" s="555" t="s">
        <v>2181</v>
      </c>
      <c r="AR13" s="555" t="s">
        <v>2202</v>
      </c>
      <c r="AS13" s="555" t="s">
        <v>2195</v>
      </c>
      <c r="AT13" s="556" t="s">
        <v>2182</v>
      </c>
      <c r="AU13" s="557" t="s">
        <v>2183</v>
      </c>
      <c r="AV13" s="555" t="s">
        <v>2184</v>
      </c>
      <c r="AW13" s="558" t="s">
        <v>2185</v>
      </c>
      <c r="AX13" s="555" t="s">
        <v>2186</v>
      </c>
      <c r="AY13" s="1333"/>
    </row>
    <row r="14" spans="1:213" ht="32.1" customHeight="1">
      <c r="A14" s="126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59" t="s">
        <v>183</v>
      </c>
      <c r="O14" s="163"/>
      <c r="P14" s="560" t="str">
        <f>IFERROR(VLOOKUP(K14,【参考】数式用!$A$5:$J$27,MATCH(O14,【参考】数式用!$B$4:$J$4,0)+1,0),"")</f>
        <v/>
      </c>
      <c r="Q14" s="163"/>
      <c r="R14" s="560" t="str">
        <f>IFERROR(VLOOKUP(K14,【参考】数式用!$A$5:$J$27,MATCH(Q14,【参考】数式用!$B$4:$J$4,0)+1,0),"")</f>
        <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t="str">
        <f>IFERROR(ROUNDDOWN(ROUND(L14*R14,0)*M14,0)*AC14,"")</f>
        <v/>
      </c>
      <c r="AF14" s="566" t="str">
        <f>IFERROR(ROUNDDOWN(ROUND(L14*(R14-P14),0)*M14,0)*AC14,"")</f>
        <v/>
      </c>
      <c r="AG14" s="567"/>
      <c r="AH14" s="459"/>
      <c r="AI14" s="460"/>
      <c r="AJ14" s="461"/>
      <c r="AK14" s="462"/>
      <c r="AL14" s="463"/>
      <c r="AM14" s="464"/>
      <c r="AN14" s="568" t="str">
        <f>IF(AP14="","",IF(OR(R14&lt;P14,R15&lt;P15,R16&lt;P16),"！加算の要件上は問題ありませんが、令和６年３月と比較して４・５月に加算率が下がる計画になっています。",""))</f>
        <v/>
      </c>
      <c r="AP14" s="569" t="str">
        <f>IF(K14&lt;&gt;"","P列・R列に色付け","")</f>
        <v/>
      </c>
      <c r="AQ14" s="570" t="str">
        <f>IFERROR(VLOOKUP(K14,【参考】数式用!$AJ$2:$AK$24,2,FALSE),"")</f>
        <v/>
      </c>
      <c r="AR14" s="571" t="str">
        <f>Q14&amp;Q15&amp;Q16</f>
        <v/>
      </c>
      <c r="AS14" s="570" t="str">
        <f>IF(AG16&lt;&gt;"",IF(AH16="○","入力済","未入力"),"")</f>
        <v>未入力</v>
      </c>
      <c r="AT14" s="571" t="str">
        <f>IF(OR(Q14="処遇加算Ⅰ",Q14="処遇加算Ⅱ"),IF(OR(AI14="○",AI14="令和６年度中に満たす"),"入力済","未入力"),"")</f>
        <v/>
      </c>
      <c r="AU14" s="572" t="str">
        <f>IF(Q14="処遇加算Ⅲ",IF(AJ14="○","入力済","未入力"),"")</f>
        <v/>
      </c>
      <c r="AV14" s="570" t="str">
        <f>IF(Q14="処遇加算Ⅰ",IF(OR(AK14="○",AK14="令和６年度中に満たす"),"入力済","未入力"),"")</f>
        <v/>
      </c>
      <c r="AW14" s="570"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IF(Q15="特定加算Ⅰ",IF(AM15="","未入力","入力済"),"")</f>
        <v/>
      </c>
      <c r="AY14" s="555" t="str">
        <f>G14</f>
        <v/>
      </c>
    </row>
    <row r="15" spans="1:213" ht="32.1" customHeight="1">
      <c r="A15" s="1265"/>
      <c r="B15" s="1301"/>
      <c r="C15" s="1302"/>
      <c r="D15" s="1302"/>
      <c r="E15" s="1302"/>
      <c r="F15" s="1303"/>
      <c r="G15" s="1268"/>
      <c r="H15" s="1268"/>
      <c r="I15" s="1268"/>
      <c r="J15" s="1268"/>
      <c r="K15" s="1271"/>
      <c r="L15" s="1274"/>
      <c r="M15" s="1277"/>
      <c r="N15" s="573" t="s">
        <v>170</v>
      </c>
      <c r="O15" s="164"/>
      <c r="P15" s="574" t="str">
        <f>IFERROR(VLOOKUP(K14,【参考】数式用!$A$5:$J$27,MATCH(O15,【参考】数式用!$B$4:$J$4,0)+1,0),"")</f>
        <v/>
      </c>
      <c r="Q15" s="164"/>
      <c r="R15" s="574" t="str">
        <f>IFERROR(VLOOKUP(K14,【参考】数式用!$A$5:$J$27,MATCH(Q15,【参考】数式用!$B$4:$J$4,0)+1,0),"")</f>
        <v/>
      </c>
      <c r="S15" s="185" t="s">
        <v>19</v>
      </c>
      <c r="T15" s="575">
        <v>6</v>
      </c>
      <c r="U15" s="186" t="s">
        <v>10</v>
      </c>
      <c r="V15" s="121">
        <v>4</v>
      </c>
      <c r="W15" s="186" t="s">
        <v>45</v>
      </c>
      <c r="X15" s="575">
        <v>6</v>
      </c>
      <c r="Y15" s="186" t="s">
        <v>10</v>
      </c>
      <c r="Z15" s="121">
        <v>5</v>
      </c>
      <c r="AA15" s="186" t="s">
        <v>13</v>
      </c>
      <c r="AB15" s="576" t="s">
        <v>24</v>
      </c>
      <c r="AC15" s="577">
        <f t="shared" si="0"/>
        <v>2</v>
      </c>
      <c r="AD15" s="186" t="s">
        <v>38</v>
      </c>
      <c r="AE15" s="578" t="str">
        <f>IFERROR(ROUNDDOWN(ROUND(L14*R15,0)*M14,0)*AC15,"")</f>
        <v/>
      </c>
      <c r="AF15" s="579" t="str">
        <f>IFERROR(ROUNDDOWN(ROUND(L14*(R15-P15),0)*M14,0)*AC15,"")</f>
        <v/>
      </c>
      <c r="AG15" s="580"/>
      <c r="AH15" s="465"/>
      <c r="AI15" s="466"/>
      <c r="AJ15" s="467"/>
      <c r="AK15" s="468"/>
      <c r="AL15" s="469"/>
      <c r="AM15" s="470"/>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
      </c>
      <c r="AY15" s="555" t="str">
        <f>G14</f>
        <v/>
      </c>
    </row>
    <row r="16" spans="1:213" ht="32.1" customHeight="1" thickBot="1">
      <c r="A16" s="1266"/>
      <c r="B16" s="1304"/>
      <c r="C16" s="1305"/>
      <c r="D16" s="1305"/>
      <c r="E16" s="1305"/>
      <c r="F16" s="1306"/>
      <c r="G16" s="1269"/>
      <c r="H16" s="1269"/>
      <c r="I16" s="1269"/>
      <c r="J16" s="1269"/>
      <c r="K16" s="1272"/>
      <c r="L16" s="1275"/>
      <c r="M16" s="1278"/>
      <c r="N16" s="583" t="s">
        <v>140</v>
      </c>
      <c r="O16" s="165"/>
      <c r="P16" s="584" t="str">
        <f>IFERROR(VLOOKUP(K14,【参考】数式用!$A$5:$J$27,MATCH(O16,【参考】数式用!$B$4:$J$4,0)+1,0),"")</f>
        <v/>
      </c>
      <c r="Q16" s="165"/>
      <c r="R16" s="584" t="str">
        <f>IFERROR(VLOOKUP(K14,【参考】数式用!$A$5:$J$27,MATCH(Q16,【参考】数式用!$B$4:$J$4,0)+1,0),"")</f>
        <v/>
      </c>
      <c r="S16" s="585" t="s">
        <v>19</v>
      </c>
      <c r="T16" s="586">
        <v>6</v>
      </c>
      <c r="U16" s="587" t="s">
        <v>10</v>
      </c>
      <c r="V16" s="122">
        <v>4</v>
      </c>
      <c r="W16" s="587" t="s">
        <v>45</v>
      </c>
      <c r="X16" s="586">
        <v>6</v>
      </c>
      <c r="Y16" s="587" t="s">
        <v>10</v>
      </c>
      <c r="Z16" s="122">
        <v>5</v>
      </c>
      <c r="AA16" s="587" t="s">
        <v>13</v>
      </c>
      <c r="AB16" s="588" t="s">
        <v>24</v>
      </c>
      <c r="AC16" s="589">
        <f t="shared" si="0"/>
        <v>2</v>
      </c>
      <c r="AD16" s="587" t="s">
        <v>38</v>
      </c>
      <c r="AE16" s="590" t="str">
        <f>IFERROR(ROUNDDOWN(ROUND(L14*R16,0)*M14,0)*AC16,"")</f>
        <v/>
      </c>
      <c r="AF16" s="591" t="str">
        <f>IFERROR(ROUNDDOWN(ROUND(L14*(R16-P16),0)*M14,0)*AC16,"")</f>
        <v/>
      </c>
      <c r="AG16" s="592">
        <f>IF(AND(O16="ベア加算なし",Q16="ベア加算"),AE16,0)</f>
        <v>0</v>
      </c>
      <c r="AH16" s="471"/>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
      </c>
      <c r="AQ16" s="595"/>
      <c r="AR16" s="595"/>
      <c r="AX16" s="596"/>
      <c r="AY16" s="555" t="str">
        <f>G14</f>
        <v/>
      </c>
    </row>
    <row r="17" spans="1:51" ht="32.1" customHeight="1">
      <c r="A17" s="1314">
        <v>2</v>
      </c>
      <c r="B17" s="1299" t="str">
        <f>IF(基本情報入力シート!C55="","",基本情報入力シート!C55)</f>
        <v/>
      </c>
      <c r="C17" s="1299"/>
      <c r="D17" s="1299"/>
      <c r="E17" s="1299"/>
      <c r="F17" s="1300"/>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97" t="s">
        <v>183</v>
      </c>
      <c r="O17" s="163"/>
      <c r="P17" s="574" t="str">
        <f>IFERROR(VLOOKUP(K17,【参考】数式用!$A$5:$J$27,MATCH(O17,【参考】数式用!$B$4:$J$4,0)+1,0),"")</f>
        <v/>
      </c>
      <c r="Q17" s="166"/>
      <c r="R17" s="574" t="str">
        <f>IFERROR(VLOOKUP(K17,【参考】数式用!$A$5:$J$27,MATCH(Q17,【参考】数式用!$B$4:$J$4,0)+1,0),"")</f>
        <v/>
      </c>
      <c r="S17" s="598" t="s">
        <v>19</v>
      </c>
      <c r="T17" s="599">
        <v>6</v>
      </c>
      <c r="U17" s="220" t="s">
        <v>10</v>
      </c>
      <c r="V17" s="134">
        <v>4</v>
      </c>
      <c r="W17" s="220" t="s">
        <v>45</v>
      </c>
      <c r="X17" s="599">
        <v>6</v>
      </c>
      <c r="Y17" s="220" t="s">
        <v>10</v>
      </c>
      <c r="Z17" s="134">
        <v>5</v>
      </c>
      <c r="AA17" s="220" t="s">
        <v>13</v>
      </c>
      <c r="AB17" s="600" t="s">
        <v>24</v>
      </c>
      <c r="AC17" s="601">
        <f t="shared" si="0"/>
        <v>2</v>
      </c>
      <c r="AD17" s="220" t="s">
        <v>38</v>
      </c>
      <c r="AE17" s="578" t="str">
        <f>IFERROR(ROUNDDOWN(ROUND(L17*R17,0)*M17,0)*AC17,"")</f>
        <v/>
      </c>
      <c r="AF17" s="566" t="str">
        <f>IFERROR(ROUNDDOWN(ROUND(L17*(R17-P17),0)*M17,0)*AC17,"")</f>
        <v/>
      </c>
      <c r="AG17" s="567"/>
      <c r="AH17" s="477"/>
      <c r="AI17" s="478"/>
      <c r="AJ17" s="479"/>
      <c r="AK17" s="480"/>
      <c r="AL17" s="463"/>
      <c r="AM17" s="481"/>
      <c r="AN17" s="568" t="str">
        <f t="shared" ref="AN17" si="1">IF(AP17="","",IF(R17&lt;P17,"！加算の要件上は問題ありませんが、令和６年３月と比較して４・５月に加算率が下がる計画になっています。",""))</f>
        <v/>
      </c>
      <c r="AP17" s="569" t="str">
        <f>IF(K17&lt;&gt;"","P列・R列に色付け","")</f>
        <v/>
      </c>
      <c r="AQ17" s="570" t="str">
        <f>IFERROR(VLOOKUP(K17,【参考】数式用!$AJ$2:$AK$24,2,FALSE),"")</f>
        <v/>
      </c>
      <c r="AR17" s="572" t="str">
        <f>Q17&amp;Q18&amp;Q19</f>
        <v/>
      </c>
      <c r="AS17" s="570" t="str">
        <f>IF(AG19&lt;&gt;"",IF(AH19="○","入力済","未入力"),"")</f>
        <v>未入力</v>
      </c>
      <c r="AT17" s="571" t="str">
        <f>IF(OR(Q17="処遇加算Ⅰ",Q17="処遇加算Ⅱ"),IF(OR(AI17="○",AI17="令和６年度中に満たす"),"入力済","未入力"),"")</f>
        <v/>
      </c>
      <c r="AU17" s="572" t="str">
        <f>IF(Q17="処遇加算Ⅲ",IF(AJ17="○","入力済","未入力"),"")</f>
        <v/>
      </c>
      <c r="AV17" s="570" t="str">
        <f>IF(Q17="処遇加算Ⅰ",IF(OR(AK17="○",AK17="令和６年度中に満たす"),"入力済","未入力"),"")</f>
        <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
      </c>
    </row>
    <row r="18" spans="1:51" ht="32.1" customHeight="1">
      <c r="A18" s="1315"/>
      <c r="B18" s="1302"/>
      <c r="C18" s="1302"/>
      <c r="D18" s="1302"/>
      <c r="E18" s="1302"/>
      <c r="F18" s="1303"/>
      <c r="G18" s="1268"/>
      <c r="H18" s="1268"/>
      <c r="I18" s="1268"/>
      <c r="J18" s="1268"/>
      <c r="K18" s="1271"/>
      <c r="L18" s="1274"/>
      <c r="M18" s="1277"/>
      <c r="N18" s="573" t="s">
        <v>170</v>
      </c>
      <c r="O18" s="164"/>
      <c r="P18" s="574" t="str">
        <f>IFERROR(VLOOKUP(K17,【参考】数式用!$A$5:$J$27,MATCH(O18,【参考】数式用!$B$4:$J$4,0)+1,0),"")</f>
        <v/>
      </c>
      <c r="Q18" s="164"/>
      <c r="R18" s="574" t="str">
        <f>IFERROR(VLOOKUP(K17,【参考】数式用!$A$5:$J$27,MATCH(Q18,【参考】数式用!$B$4:$J$4,0)+1,0),"")</f>
        <v/>
      </c>
      <c r="S18" s="185" t="s">
        <v>19</v>
      </c>
      <c r="T18" s="575">
        <v>6</v>
      </c>
      <c r="U18" s="186" t="s">
        <v>10</v>
      </c>
      <c r="V18" s="121">
        <v>4</v>
      </c>
      <c r="W18" s="186" t="s">
        <v>45</v>
      </c>
      <c r="X18" s="575">
        <v>6</v>
      </c>
      <c r="Y18" s="186" t="s">
        <v>10</v>
      </c>
      <c r="Z18" s="121">
        <v>5</v>
      </c>
      <c r="AA18" s="186" t="s">
        <v>13</v>
      </c>
      <c r="AB18" s="576" t="s">
        <v>24</v>
      </c>
      <c r="AC18" s="577">
        <f t="shared" si="0"/>
        <v>2</v>
      </c>
      <c r="AD18" s="186" t="s">
        <v>38</v>
      </c>
      <c r="AE18" s="578" t="str">
        <f>IFERROR(ROUNDDOWN(ROUND(L17*R18,0)*M17,0)*AC18,"")</f>
        <v/>
      </c>
      <c r="AF18" s="579" t="str">
        <f>IFERROR(ROUNDDOWN(ROUND(L17*(R18-P18),0)*M17,0)*AC18,"")</f>
        <v/>
      </c>
      <c r="AG18" s="580"/>
      <c r="AH18" s="465"/>
      <c r="AI18" s="466"/>
      <c r="AJ18" s="467"/>
      <c r="AK18" s="468"/>
      <c r="AL18" s="469"/>
      <c r="AM18" s="470"/>
      <c r="AN18" s="581"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
      </c>
      <c r="AY18" s="555" t="str">
        <f>G17</f>
        <v/>
      </c>
    </row>
    <row r="19" spans="1:51" ht="32.1" customHeight="1" thickBot="1">
      <c r="A19" s="1316"/>
      <c r="B19" s="1305"/>
      <c r="C19" s="1305"/>
      <c r="D19" s="1305"/>
      <c r="E19" s="1305"/>
      <c r="F19" s="1306"/>
      <c r="G19" s="1269"/>
      <c r="H19" s="1269"/>
      <c r="I19" s="1269"/>
      <c r="J19" s="1269"/>
      <c r="K19" s="1272"/>
      <c r="L19" s="1275"/>
      <c r="M19" s="1278"/>
      <c r="N19" s="583" t="s">
        <v>140</v>
      </c>
      <c r="O19" s="165"/>
      <c r="P19" s="584" t="str">
        <f>IFERROR(VLOOKUP(K17,【参考】数式用!$A$5:$J$27,MATCH(O19,【参考】数式用!$B$4:$J$4,0)+1,0),"")</f>
        <v/>
      </c>
      <c r="Q19" s="165"/>
      <c r="R19" s="584" t="str">
        <f>IFERROR(VLOOKUP(K17,【参考】数式用!$A$5:$J$27,MATCH(Q19,【参考】数式用!$B$4:$J$4,0)+1,0),"")</f>
        <v/>
      </c>
      <c r="S19" s="585" t="s">
        <v>19</v>
      </c>
      <c r="T19" s="586">
        <v>6</v>
      </c>
      <c r="U19" s="587" t="s">
        <v>10</v>
      </c>
      <c r="V19" s="122">
        <v>4</v>
      </c>
      <c r="W19" s="587" t="s">
        <v>45</v>
      </c>
      <c r="X19" s="586">
        <v>6</v>
      </c>
      <c r="Y19" s="587" t="s">
        <v>10</v>
      </c>
      <c r="Z19" s="122">
        <v>5</v>
      </c>
      <c r="AA19" s="587" t="s">
        <v>13</v>
      </c>
      <c r="AB19" s="588" t="s">
        <v>24</v>
      </c>
      <c r="AC19" s="589">
        <f t="shared" si="0"/>
        <v>2</v>
      </c>
      <c r="AD19" s="587" t="s">
        <v>38</v>
      </c>
      <c r="AE19" s="602" t="str">
        <f>IFERROR(ROUNDDOWN(ROUND(L17*R19,0)*M17,0)*AC19,"")</f>
        <v/>
      </c>
      <c r="AF19" s="591" t="str">
        <f>IFERROR(ROUNDDOWN(ROUND(L17*(R19-P19),0)*M17,0)*AC19,"")</f>
        <v/>
      </c>
      <c r="AG19" s="592">
        <f>IF(AND(O19="ベア加算なし",Q19="ベア加算"),AE19,0)</f>
        <v>0</v>
      </c>
      <c r="AH19" s="471"/>
      <c r="AI19" s="472"/>
      <c r="AJ19" s="473"/>
      <c r="AK19" s="474"/>
      <c r="AL19" s="475"/>
      <c r="AM19" s="476"/>
      <c r="AN19" s="593"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IF(K17&lt;&gt;"","P列・R列に色付け","")</f>
        <v/>
      </c>
      <c r="AQ19" s="595"/>
      <c r="AR19" s="595"/>
      <c r="AX19" s="596"/>
      <c r="AY19" s="555" t="str">
        <f>G17</f>
        <v/>
      </c>
    </row>
    <row r="20" spans="1:51" ht="32.1" customHeight="1">
      <c r="A20" s="1325">
        <v>3</v>
      </c>
      <c r="B20" s="1313" t="str">
        <f>IF(基本情報入力シート!C56="","",基本情報入力シート!C56)</f>
        <v/>
      </c>
      <c r="C20" s="1313"/>
      <c r="D20" s="1313"/>
      <c r="E20" s="1313"/>
      <c r="F20" s="1313"/>
      <c r="G20" s="1311" t="str">
        <f>IF(基本情報入力シート!M56="","",基本情報入力シート!M56)</f>
        <v/>
      </c>
      <c r="H20" s="1311" t="str">
        <f>IF(基本情報入力シート!R56="","",基本情報入力シート!R56)</f>
        <v/>
      </c>
      <c r="I20" s="1311" t="str">
        <f>IF(基本情報入力シート!W56="","",基本情報入力シート!W56)</f>
        <v/>
      </c>
      <c r="J20" s="1311" t="str">
        <f>IF(基本情報入力シート!X56="","",基本情報入力シート!X56)</f>
        <v/>
      </c>
      <c r="K20" s="1311" t="str">
        <f>IF(基本情報入力シート!Y56="","",基本情報入力シート!Y56)</f>
        <v/>
      </c>
      <c r="L20" s="1307" t="str">
        <f>IF(基本情報入力シート!AB56="","",基本情報入力シート!AB56)</f>
        <v/>
      </c>
      <c r="M20" s="1309" t="str">
        <f>IF(基本情報入力シート!AC56="","",基本情報入力シート!AC56)</f>
        <v/>
      </c>
      <c r="N20" s="559" t="s">
        <v>183</v>
      </c>
      <c r="O20" s="163"/>
      <c r="P20" s="560" t="str">
        <f>IFERROR(VLOOKUP(K20,【参考】数式用!$A$5:$J$27,MATCH(O20,【参考】数式用!$B$4:$J$4,0)+1,0),"")</f>
        <v/>
      </c>
      <c r="Q20" s="163"/>
      <c r="R20" s="560" t="str">
        <f>IFERROR(VLOOKUP(K20,【参考】数式用!$A$5:$J$27,MATCH(Q20,【参考】数式用!$B$4:$J$4,0)+1,0),"")</f>
        <v/>
      </c>
      <c r="S20" s="561" t="s">
        <v>19</v>
      </c>
      <c r="T20" s="562">
        <v>6</v>
      </c>
      <c r="U20" s="214" t="s">
        <v>10</v>
      </c>
      <c r="V20" s="79">
        <v>4</v>
      </c>
      <c r="W20" s="214" t="s">
        <v>45</v>
      </c>
      <c r="X20" s="562">
        <v>6</v>
      </c>
      <c r="Y20" s="214" t="s">
        <v>10</v>
      </c>
      <c r="Z20" s="79">
        <v>5</v>
      </c>
      <c r="AA20" s="214" t="s">
        <v>13</v>
      </c>
      <c r="AB20" s="563" t="s">
        <v>24</v>
      </c>
      <c r="AC20" s="564">
        <f t="shared" ref="AC20:AC34" si="4">IF(V20&gt;=1,(X20*12+Z20)-(T20*12+V20)+1,"")</f>
        <v>2</v>
      </c>
      <c r="AD20" s="214" t="s">
        <v>38</v>
      </c>
      <c r="AE20" s="565" t="str">
        <f>IFERROR(ROUNDDOWN(ROUND(L20*R20,0)*M20,0)*AC20,"")</f>
        <v/>
      </c>
      <c r="AF20" s="566" t="str">
        <f>IFERROR(ROUNDDOWN(ROUND(L20*(R20-P20),0)*M20,0)*AC20,"")</f>
        <v/>
      </c>
      <c r="AG20" s="567"/>
      <c r="AH20" s="477"/>
      <c r="AI20" s="478"/>
      <c r="AJ20" s="482"/>
      <c r="AK20" s="483"/>
      <c r="AL20" s="463"/>
      <c r="AM20" s="464"/>
      <c r="AN20" s="568" t="str">
        <f t="shared" ref="AN20" si="5">IF(AP20="","",IF(R20&lt;P20,"！加算の要件上は問題ありませんが、令和６年３月と比較して４・５月に加算率が下がる計画になっています。",""))</f>
        <v/>
      </c>
      <c r="AP20" s="569" t="str">
        <f>IF(K20&lt;&gt;"","P列・R列に色付け","")</f>
        <v/>
      </c>
      <c r="AQ20" s="570" t="str">
        <f>IFERROR(VLOOKUP(K20,【参考】数式用!$AJ$2:$AK$24,2,FALSE),"")</f>
        <v/>
      </c>
      <c r="AR20" s="572" t="str">
        <f>Q20&amp;Q21&amp;Q22</f>
        <v/>
      </c>
      <c r="AS20" s="570" t="str">
        <f>IF(AG22&lt;&gt;"",IF(AH22="○","入力済","未入力"),"")</f>
        <v>未入力</v>
      </c>
      <c r="AT20" s="571" t="str">
        <f>IF(OR(Q20="処遇加算Ⅰ",Q20="処遇加算Ⅱ"),IF(OR(AI20="○",AI20="令和６年度中に満たす"),"入力済","未入力"),"")</f>
        <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
      </c>
    </row>
    <row r="21" spans="1:51" ht="32.1" customHeight="1">
      <c r="A21" s="1315"/>
      <c r="B21" s="1226"/>
      <c r="C21" s="1226"/>
      <c r="D21" s="1226"/>
      <c r="E21" s="1226"/>
      <c r="F21" s="1226"/>
      <c r="G21" s="1229"/>
      <c r="H21" s="1229"/>
      <c r="I21" s="1229"/>
      <c r="J21" s="1229"/>
      <c r="K21" s="1229"/>
      <c r="L21" s="1232"/>
      <c r="M21" s="1235"/>
      <c r="N21" s="573" t="s">
        <v>170</v>
      </c>
      <c r="O21" s="164"/>
      <c r="P21" s="574" t="str">
        <f>IFERROR(VLOOKUP(K20,【参考】数式用!$A$5:$J$27,MATCH(O21,【参考】数式用!$B$4:$J$4,0)+1,0),"")</f>
        <v/>
      </c>
      <c r="Q21" s="164"/>
      <c r="R21" s="574" t="str">
        <f>IFERROR(VLOOKUP(K20,【参考】数式用!$A$5:$J$27,MATCH(Q21,【参考】数式用!$B$4:$J$4,0)+1,0),"")</f>
        <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t="str">
        <f>IFERROR(ROUNDDOWN(ROUND(L20*R21,0)*M20,0)*AC21,"")</f>
        <v/>
      </c>
      <c r="AF21" s="579" t="str">
        <f>IFERROR(ROUNDDOWN(ROUND(L20*(R21-P21),0)*M20,0)*AC21,"")</f>
        <v/>
      </c>
      <c r="AG21" s="580"/>
      <c r="AH21" s="465"/>
      <c r="AI21" s="466"/>
      <c r="AJ21" s="467"/>
      <c r="AK21" s="468"/>
      <c r="AL21" s="469"/>
      <c r="AM21" s="470"/>
      <c r="AN21" s="581"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
      </c>
      <c r="AY21" s="555" t="str">
        <f>G20</f>
        <v/>
      </c>
    </row>
    <row r="22" spans="1:51" ht="32.1" customHeight="1" thickBot="1">
      <c r="A22" s="1326"/>
      <c r="B22" s="1327"/>
      <c r="C22" s="1327"/>
      <c r="D22" s="1327"/>
      <c r="E22" s="1327"/>
      <c r="F22" s="1327"/>
      <c r="G22" s="1312"/>
      <c r="H22" s="1312"/>
      <c r="I22" s="1312"/>
      <c r="J22" s="1312"/>
      <c r="K22" s="1312"/>
      <c r="L22" s="1308"/>
      <c r="M22" s="1310"/>
      <c r="N22" s="583" t="s">
        <v>140</v>
      </c>
      <c r="O22" s="165"/>
      <c r="P22" s="584" t="str">
        <f>IFERROR(VLOOKUP(K20,【参考】数式用!$A$5:$J$27,MATCH(O22,【参考】数式用!$B$4:$J$4,0)+1,0),"")</f>
        <v/>
      </c>
      <c r="Q22" s="165"/>
      <c r="R22" s="584" t="str">
        <f>IFERROR(VLOOKUP(K20,【参考】数式用!$A$5:$J$27,MATCH(Q22,【参考】数式用!$B$4:$J$4,0)+1,0),"")</f>
        <v/>
      </c>
      <c r="S22" s="585" t="s">
        <v>19</v>
      </c>
      <c r="T22" s="586">
        <v>6</v>
      </c>
      <c r="U22" s="587" t="s">
        <v>10</v>
      </c>
      <c r="V22" s="122">
        <v>4</v>
      </c>
      <c r="W22" s="587" t="s">
        <v>45</v>
      </c>
      <c r="X22" s="586">
        <v>6</v>
      </c>
      <c r="Y22" s="587" t="s">
        <v>10</v>
      </c>
      <c r="Z22" s="122">
        <v>5</v>
      </c>
      <c r="AA22" s="587" t="s">
        <v>13</v>
      </c>
      <c r="AB22" s="588" t="s">
        <v>24</v>
      </c>
      <c r="AC22" s="589">
        <f t="shared" si="4"/>
        <v>2</v>
      </c>
      <c r="AD22" s="587" t="s">
        <v>38</v>
      </c>
      <c r="AE22" s="602" t="str">
        <f>IFERROR(ROUNDDOWN(ROUND(L20*R22,0)*M20,0)*AC22,"")</f>
        <v/>
      </c>
      <c r="AF22" s="591" t="str">
        <f>IFERROR(ROUNDDOWN(ROUND(L20*(R22-P22),0)*M20,0)*AC22,"")</f>
        <v/>
      </c>
      <c r="AG22" s="592">
        <f t="shared" ref="AG22" si="7">IF(AND(O22="ベア加算なし",Q22="ベア加算"),AE22,0)</f>
        <v>0</v>
      </c>
      <c r="AH22" s="484"/>
      <c r="AI22" s="472"/>
      <c r="AJ22" s="473"/>
      <c r="AK22" s="474"/>
      <c r="AL22" s="475"/>
      <c r="AM22" s="476"/>
      <c r="AN22" s="593"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
      </c>
      <c r="AQ22" s="595"/>
      <c r="AR22" s="595"/>
      <c r="AX22" s="596"/>
      <c r="AY22" s="555" t="str">
        <f>G20</f>
        <v/>
      </c>
    </row>
    <row r="23" spans="1:51" ht="32.1" customHeight="1">
      <c r="A23" s="1314">
        <v>4</v>
      </c>
      <c r="B23" s="1225" t="str">
        <f>IF(基本情報入力シート!C57="","",基本情報入力シート!C57)</f>
        <v/>
      </c>
      <c r="C23" s="1225"/>
      <c r="D23" s="1225"/>
      <c r="E23" s="1225"/>
      <c r="F23" s="1225"/>
      <c r="G23" s="1228" t="str">
        <f>IF(基本情報入力シート!M57="","",基本情報入力シート!M57)</f>
        <v/>
      </c>
      <c r="H23" s="1228" t="str">
        <f>IF(基本情報入力シート!R57="","",基本情報入力シート!R57)</f>
        <v/>
      </c>
      <c r="I23" s="1228" t="str">
        <f>IF(基本情報入力シート!W57="","",基本情報入力シート!W57)</f>
        <v/>
      </c>
      <c r="J23" s="1228" t="str">
        <f>IF(基本情報入力シート!X57="","",基本情報入力シート!X57)</f>
        <v/>
      </c>
      <c r="K23" s="1228" t="str">
        <f>IF(基本情報入力シート!Y57="","",基本情報入力シート!Y57)</f>
        <v/>
      </c>
      <c r="L23" s="1231" t="str">
        <f>IF(基本情報入力シート!AB57="","",基本情報入力シート!AB57)</f>
        <v/>
      </c>
      <c r="M23" s="1234" t="str">
        <f>IF(基本情報入力シート!AC57="","",基本情報入力シート!AC57)</f>
        <v/>
      </c>
      <c r="N23" s="559" t="s">
        <v>183</v>
      </c>
      <c r="O23" s="163"/>
      <c r="P23" s="560" t="str">
        <f>IFERROR(VLOOKUP(K23,【参考】数式用!$A$5:$J$27,MATCH(O23,【参考】数式用!$B$4:$J$4,0)+1,0),"")</f>
        <v/>
      </c>
      <c r="Q23" s="163"/>
      <c r="R23" s="560" t="str">
        <f>IFERROR(VLOOKUP(K23,【参考】数式用!$A$5:$J$27,MATCH(Q23,【参考】数式用!$B$4:$J$4,0)+1,0),"")</f>
        <v/>
      </c>
      <c r="S23" s="561" t="s">
        <v>19</v>
      </c>
      <c r="T23" s="562">
        <v>6</v>
      </c>
      <c r="U23" s="214" t="s">
        <v>10</v>
      </c>
      <c r="V23" s="79">
        <v>4</v>
      </c>
      <c r="W23" s="214" t="s">
        <v>45</v>
      </c>
      <c r="X23" s="562">
        <v>6</v>
      </c>
      <c r="Y23" s="214" t="s">
        <v>10</v>
      </c>
      <c r="Z23" s="79">
        <v>5</v>
      </c>
      <c r="AA23" s="214" t="s">
        <v>13</v>
      </c>
      <c r="AB23" s="563" t="s">
        <v>24</v>
      </c>
      <c r="AC23" s="564">
        <f t="shared" si="4"/>
        <v>2</v>
      </c>
      <c r="AD23" s="214" t="s">
        <v>38</v>
      </c>
      <c r="AE23" s="565" t="str">
        <f>IFERROR(ROUNDDOWN(ROUND(L23*R23,0)*M23,0)*AC23,"")</f>
        <v/>
      </c>
      <c r="AF23" s="566" t="str">
        <f>IFERROR(ROUNDDOWN(ROUND(L23*(R23-P23),0)*M23,0)*AC23,"")</f>
        <v/>
      </c>
      <c r="AG23" s="567"/>
      <c r="AH23" s="477"/>
      <c r="AI23" s="478"/>
      <c r="AJ23" s="482"/>
      <c r="AK23" s="483"/>
      <c r="AL23" s="463"/>
      <c r="AM23" s="464"/>
      <c r="AN23" s="568" t="str">
        <f t="shared" ref="AN23" si="9">IF(AP23="","",IF(R23&lt;P23,"！加算の要件上は問題ありませんが、令和６年３月と比較して４・５月に加算率が下がる計画になっています。",""))</f>
        <v/>
      </c>
      <c r="AP23" s="569" t="str">
        <f>IF(K23&lt;&gt;"","P列・R列に色付け","")</f>
        <v/>
      </c>
      <c r="AQ23" s="570" t="str">
        <f>IFERROR(VLOOKUP(K23,【参考】数式用!$AJ$2:$AK$24,2,FALSE),"")</f>
        <v/>
      </c>
      <c r="AR23" s="572" t="str">
        <f>Q23&amp;Q24&amp;Q25</f>
        <v/>
      </c>
      <c r="AS23" s="570" t="str">
        <f>IF(AG25&lt;&gt;"",IF(AH25="○","入力済","未入力"),"")</f>
        <v>未入力</v>
      </c>
      <c r="AT23" s="571" t="str">
        <f>IF(OR(Q23="処遇加算Ⅰ",Q23="処遇加算Ⅱ"),IF(OR(AI23="○",AI23="令和６年度中に満たす"),"入力済","未入力"),"")</f>
        <v/>
      </c>
      <c r="AU23" s="572" t="str">
        <f>IF(Q23="処遇加算Ⅲ",IF(AJ23="○","入力済","未入力"),"")</f>
        <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
      </c>
    </row>
    <row r="24" spans="1:51" ht="32.1" customHeight="1">
      <c r="A24" s="1315"/>
      <c r="B24" s="1226"/>
      <c r="C24" s="1226"/>
      <c r="D24" s="1226"/>
      <c r="E24" s="1226"/>
      <c r="F24" s="1226"/>
      <c r="G24" s="1229"/>
      <c r="H24" s="1229"/>
      <c r="I24" s="1229"/>
      <c r="J24" s="1229"/>
      <c r="K24" s="1229"/>
      <c r="L24" s="1232"/>
      <c r="M24" s="1235"/>
      <c r="N24" s="573" t="s">
        <v>170</v>
      </c>
      <c r="O24" s="164"/>
      <c r="P24" s="574" t="str">
        <f>IFERROR(VLOOKUP(K23,【参考】数式用!$A$5:$J$27,MATCH(O24,【参考】数式用!$B$4:$J$4,0)+1,0),"")</f>
        <v/>
      </c>
      <c r="Q24" s="164"/>
      <c r="R24" s="574" t="str">
        <f>IFERROR(VLOOKUP(K23,【参考】数式用!$A$5:$J$27,MATCH(Q24,【参考】数式用!$B$4:$J$4,0)+1,0),"")</f>
        <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t="str">
        <f>IFERROR(ROUNDDOWN(ROUND(L23*R24,0)*M23,0)*AC24,"")</f>
        <v/>
      </c>
      <c r="AF24" s="579" t="str">
        <f>IFERROR(ROUNDDOWN(ROUND(L23*(R24-P24),0)*M23,0)*AC24,"")</f>
        <v/>
      </c>
      <c r="AG24" s="580"/>
      <c r="AH24" s="465"/>
      <c r="AI24" s="466"/>
      <c r="AJ24" s="467"/>
      <c r="AK24" s="468"/>
      <c r="AL24" s="469"/>
      <c r="AM24" s="470"/>
      <c r="AN24" s="581"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
      </c>
      <c r="AY24" s="555" t="str">
        <f>G23</f>
        <v/>
      </c>
    </row>
    <row r="25" spans="1:51" ht="32.1" customHeight="1" thickBot="1">
      <c r="A25" s="1316"/>
      <c r="B25" s="1227"/>
      <c r="C25" s="1227"/>
      <c r="D25" s="1227"/>
      <c r="E25" s="1227"/>
      <c r="F25" s="1227"/>
      <c r="G25" s="1230"/>
      <c r="H25" s="1230"/>
      <c r="I25" s="1230"/>
      <c r="J25" s="1230"/>
      <c r="K25" s="1230"/>
      <c r="L25" s="1233"/>
      <c r="M25" s="1236"/>
      <c r="N25" s="583" t="s">
        <v>140</v>
      </c>
      <c r="O25" s="165"/>
      <c r="P25" s="584" t="str">
        <f>IFERROR(VLOOKUP(K23,【参考】数式用!$A$5:$J$27,MATCH(O25,【参考】数式用!$B$4:$J$4,0)+1,0),"")</f>
        <v/>
      </c>
      <c r="Q25" s="165"/>
      <c r="R25" s="584" t="str">
        <f>IFERROR(VLOOKUP(K23,【参考】数式用!$A$5:$J$27,MATCH(Q25,【参考】数式用!$B$4:$J$4,0)+1,0),"")</f>
        <v/>
      </c>
      <c r="S25" s="585" t="s">
        <v>19</v>
      </c>
      <c r="T25" s="586">
        <v>6</v>
      </c>
      <c r="U25" s="587" t="s">
        <v>10</v>
      </c>
      <c r="V25" s="122">
        <v>4</v>
      </c>
      <c r="W25" s="587" t="s">
        <v>45</v>
      </c>
      <c r="X25" s="586">
        <v>6</v>
      </c>
      <c r="Y25" s="587" t="s">
        <v>10</v>
      </c>
      <c r="Z25" s="122">
        <v>5</v>
      </c>
      <c r="AA25" s="587" t="s">
        <v>13</v>
      </c>
      <c r="AB25" s="588" t="s">
        <v>24</v>
      </c>
      <c r="AC25" s="589">
        <f t="shared" si="4"/>
        <v>2</v>
      </c>
      <c r="AD25" s="587" t="s">
        <v>38</v>
      </c>
      <c r="AE25" s="602" t="str">
        <f>IFERROR(ROUNDDOWN(ROUND(L23*R25,0)*M23,0)*AC25,"")</f>
        <v/>
      </c>
      <c r="AF25" s="591" t="str">
        <f>IFERROR(ROUNDDOWN(ROUND(L23*(R25-P25),0)*M23,0)*AC25,"")</f>
        <v/>
      </c>
      <c r="AG25" s="592">
        <f t="shared" ref="AG25" si="11">IF(AND(O25="ベア加算なし",Q25="ベア加算"),AE25,0)</f>
        <v>0</v>
      </c>
      <c r="AH25" s="484"/>
      <c r="AI25" s="472"/>
      <c r="AJ25" s="473"/>
      <c r="AK25" s="474"/>
      <c r="AL25" s="475"/>
      <c r="AM25" s="476"/>
      <c r="AN25" s="593"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
      </c>
      <c r="AQ25" s="595"/>
      <c r="AR25" s="595"/>
      <c r="AX25" s="596"/>
      <c r="AY25" s="555" t="str">
        <f>G23</f>
        <v/>
      </c>
    </row>
    <row r="26" spans="1:51" ht="32.1" customHeight="1">
      <c r="A26" s="1325">
        <v>5</v>
      </c>
      <c r="B26" s="1313" t="str">
        <f>IF(基本情報入力シート!C58="","",基本情報入力シート!C58)</f>
        <v/>
      </c>
      <c r="C26" s="1313"/>
      <c r="D26" s="1313"/>
      <c r="E26" s="1313"/>
      <c r="F26" s="1313"/>
      <c r="G26" s="1311" t="str">
        <f>IF(基本情報入力シート!M58="","",基本情報入力シート!M58)</f>
        <v/>
      </c>
      <c r="H26" s="1311" t="str">
        <f>IF(基本情報入力シート!R58="","",基本情報入力シート!R58)</f>
        <v/>
      </c>
      <c r="I26" s="1311" t="str">
        <f>IF(基本情報入力シート!W58="","",基本情報入力シート!W58)</f>
        <v/>
      </c>
      <c r="J26" s="1311" t="str">
        <f>IF(基本情報入力シート!X58="","",基本情報入力シート!X58)</f>
        <v/>
      </c>
      <c r="K26" s="1311" t="str">
        <f>IF(基本情報入力シート!Y58="","",基本情報入力シート!Y58)</f>
        <v/>
      </c>
      <c r="L26" s="1307" t="str">
        <f>IF(基本情報入力シート!AB58="","",基本情報入力シート!AB58)</f>
        <v/>
      </c>
      <c r="M26" s="1309" t="str">
        <f>IF(基本情報入力シート!AC58="","",基本情報入力シート!AC58)</f>
        <v/>
      </c>
      <c r="N26" s="559" t="s">
        <v>183</v>
      </c>
      <c r="O26" s="163"/>
      <c r="P26" s="560" t="str">
        <f>IFERROR(VLOOKUP(K26,【参考】数式用!$A$5:$J$27,MATCH(O26,【参考】数式用!$B$4:$J$4,0)+1,0),"")</f>
        <v/>
      </c>
      <c r="Q26" s="163"/>
      <c r="R26" s="560" t="str">
        <f>IFERROR(VLOOKUP(K26,【参考】数式用!$A$5:$J$27,MATCH(Q26,【参考】数式用!$B$4:$J$4,0)+1,0),"")</f>
        <v/>
      </c>
      <c r="S26" s="561" t="s">
        <v>19</v>
      </c>
      <c r="T26" s="562">
        <v>6</v>
      </c>
      <c r="U26" s="214" t="s">
        <v>10</v>
      </c>
      <c r="V26" s="79">
        <v>4</v>
      </c>
      <c r="W26" s="214" t="s">
        <v>45</v>
      </c>
      <c r="X26" s="562">
        <v>6</v>
      </c>
      <c r="Y26" s="214" t="s">
        <v>10</v>
      </c>
      <c r="Z26" s="79">
        <v>5</v>
      </c>
      <c r="AA26" s="214" t="s">
        <v>13</v>
      </c>
      <c r="AB26" s="563" t="s">
        <v>24</v>
      </c>
      <c r="AC26" s="564">
        <f t="shared" si="4"/>
        <v>2</v>
      </c>
      <c r="AD26" s="214" t="s">
        <v>38</v>
      </c>
      <c r="AE26" s="565" t="str">
        <f>IFERROR(ROUNDDOWN(ROUND(L26*R26,0)*M26,0)*AC26,"")</f>
        <v/>
      </c>
      <c r="AF26" s="566" t="str">
        <f>IFERROR(ROUNDDOWN(ROUND(L26*(R26-P26),0)*M26,0)*AC26,"")</f>
        <v/>
      </c>
      <c r="AG26" s="567"/>
      <c r="AH26" s="477"/>
      <c r="AI26" s="485"/>
      <c r="AJ26" s="486"/>
      <c r="AK26" s="483"/>
      <c r="AL26" s="463"/>
      <c r="AM26" s="464"/>
      <c r="AN26" s="568" t="str">
        <f t="shared" ref="AN26" si="13">IF(AP26="","",IF(R26&lt;P26,"！加算の要件上は問題ありませんが、令和６年３月と比較して４・５月に加算率が下がる計画になっています。",""))</f>
        <v/>
      </c>
      <c r="AP26" s="569" t="str">
        <f>IF(K26&lt;&gt;"","P列・R列に色付け","")</f>
        <v/>
      </c>
      <c r="AQ26" s="570" t="str">
        <f>IFERROR(VLOOKUP(K26,【参考】数式用!$AJ$2:$AK$24,2,FALSE),"")</f>
        <v/>
      </c>
      <c r="AR26" s="572" t="str">
        <f>Q26&amp;Q27&amp;Q28</f>
        <v/>
      </c>
      <c r="AS26" s="570" t="str">
        <f>IF(AG28&lt;&gt;"",IF(AH28="○","入力済","未入力"),"")</f>
        <v>未入力</v>
      </c>
      <c r="AT26" s="571" t="str">
        <f>IF(OR(Q26="処遇加算Ⅰ",Q26="処遇加算Ⅱ"),IF(OR(AI26="○",AI26="令和６年度中に満たす"),"入力済","未入力"),"")</f>
        <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
      </c>
    </row>
    <row r="27" spans="1:51" ht="32.1" customHeight="1">
      <c r="A27" s="1315"/>
      <c r="B27" s="1226"/>
      <c r="C27" s="1226"/>
      <c r="D27" s="1226"/>
      <c r="E27" s="1226"/>
      <c r="F27" s="1226"/>
      <c r="G27" s="1229"/>
      <c r="H27" s="1229"/>
      <c r="I27" s="1229"/>
      <c r="J27" s="1229"/>
      <c r="K27" s="1229"/>
      <c r="L27" s="1232"/>
      <c r="M27" s="1235"/>
      <c r="N27" s="573" t="s">
        <v>170</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IF(K26&lt;&gt;"","P列・R列に色付け","")</f>
        <v/>
      </c>
      <c r="AY27" s="555" t="str">
        <f>G26</f>
        <v/>
      </c>
    </row>
    <row r="28" spans="1:51" ht="32.1" customHeight="1" thickBot="1">
      <c r="A28" s="1326"/>
      <c r="B28" s="1327"/>
      <c r="C28" s="1327"/>
      <c r="D28" s="1327"/>
      <c r="E28" s="1327"/>
      <c r="F28" s="1327"/>
      <c r="G28" s="1312"/>
      <c r="H28" s="1312"/>
      <c r="I28" s="1312"/>
      <c r="J28" s="1312"/>
      <c r="K28" s="1312"/>
      <c r="L28" s="1308"/>
      <c r="M28" s="1310"/>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4"/>
        <v>2</v>
      </c>
      <c r="AD28" s="587" t="s">
        <v>38</v>
      </c>
      <c r="AE28" s="602" t="str">
        <f>IFERROR(ROUNDDOWN(ROUND(L26*R28,0)*M26,0)*AC28,"")</f>
        <v/>
      </c>
      <c r="AF28" s="591" t="str">
        <f>IFERROR(ROUNDDOWN(ROUND(L26*(R28-P28),0)*M26,0)*AC28,"")</f>
        <v/>
      </c>
      <c r="AG28" s="592">
        <f t="shared" ref="AG28" si="15">IF(AND(O28="ベア加算なし",Q28="ベア加算"),AE28,0)</f>
        <v>0</v>
      </c>
      <c r="AH28" s="471"/>
      <c r="AI28" s="472"/>
      <c r="AJ28" s="473"/>
      <c r="AK28" s="474"/>
      <c r="AL28" s="475"/>
      <c r="AM28" s="476"/>
      <c r="AN28" s="593"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
      </c>
      <c r="AQ28" s="595"/>
      <c r="AR28" s="595"/>
      <c r="AX28" s="596"/>
      <c r="AY28" s="555" t="str">
        <f>G26</f>
        <v/>
      </c>
    </row>
    <row r="29" spans="1:51" ht="32.1" customHeight="1">
      <c r="A29" s="1314">
        <v>6</v>
      </c>
      <c r="B29" s="1225" t="str">
        <f>IF(基本情報入力シート!C59="","",基本情報入力シート!C59)</f>
        <v/>
      </c>
      <c r="C29" s="1225"/>
      <c r="D29" s="1225"/>
      <c r="E29" s="1225"/>
      <c r="F29" s="1225"/>
      <c r="G29" s="1228" t="str">
        <f>IF(基本情報入力シート!M59="","",基本情報入力シート!M59)</f>
        <v/>
      </c>
      <c r="H29" s="1228" t="str">
        <f>IF(基本情報入力シート!R59="","",基本情報入力シート!R59)</f>
        <v/>
      </c>
      <c r="I29" s="1228" t="str">
        <f>IF(基本情報入力シート!W59="","",基本情報入力シート!W59)</f>
        <v/>
      </c>
      <c r="J29" s="1228" t="str">
        <f>IF(基本情報入力シート!X59="","",基本情報入力シート!X59)</f>
        <v/>
      </c>
      <c r="K29" s="1228" t="str">
        <f>IF(基本情報入力シート!Y59="","",基本情報入力シート!Y59)</f>
        <v/>
      </c>
      <c r="L29" s="1231" t="str">
        <f>IF(基本情報入力シート!AB59="","",基本情報入力シート!AB59)</f>
        <v/>
      </c>
      <c r="M29" s="1234" t="str">
        <f>IF(基本情報入力シート!AC59="","",基本情報入力シート!AC59)</f>
        <v/>
      </c>
      <c r="N29" s="559" t="s">
        <v>183</v>
      </c>
      <c r="O29" s="163"/>
      <c r="P29" s="560" t="str">
        <f>IFERROR(VLOOKUP(K29,【参考】数式用!$A$5:$J$27,MATCH(O29,【参考】数式用!$B$4:$J$4,0)+1,0),"")</f>
        <v/>
      </c>
      <c r="Q29" s="163"/>
      <c r="R29" s="560" t="str">
        <f>IFERROR(VLOOKUP(K29,【参考】数式用!$A$5:$J$27,MATCH(Q29,【参考】数式用!$B$4:$J$4,0)+1,0),"")</f>
        <v/>
      </c>
      <c r="S29" s="561" t="s">
        <v>19</v>
      </c>
      <c r="T29" s="562">
        <v>6</v>
      </c>
      <c r="U29" s="214" t="s">
        <v>10</v>
      </c>
      <c r="V29" s="79">
        <v>4</v>
      </c>
      <c r="W29" s="214" t="s">
        <v>45</v>
      </c>
      <c r="X29" s="562">
        <v>6</v>
      </c>
      <c r="Y29" s="214" t="s">
        <v>10</v>
      </c>
      <c r="Z29" s="79">
        <v>5</v>
      </c>
      <c r="AA29" s="214" t="s">
        <v>13</v>
      </c>
      <c r="AB29" s="563" t="s">
        <v>24</v>
      </c>
      <c r="AC29" s="564">
        <f t="shared" si="4"/>
        <v>2</v>
      </c>
      <c r="AD29" s="214" t="s">
        <v>38</v>
      </c>
      <c r="AE29" s="565" t="str">
        <f>IFERROR(ROUNDDOWN(ROUND(L29*R29,0)*M29,0)*AC29,"")</f>
        <v/>
      </c>
      <c r="AF29" s="566" t="str">
        <f>IFERROR(ROUNDDOWN(ROUND(L29*(R29-P29),0)*M29,0)*AC29,"")</f>
        <v/>
      </c>
      <c r="AG29" s="567"/>
      <c r="AH29" s="477"/>
      <c r="AI29" s="485"/>
      <c r="AJ29" s="482"/>
      <c r="AK29" s="483"/>
      <c r="AL29" s="463"/>
      <c r="AM29" s="464"/>
      <c r="AN29" s="568" t="str">
        <f t="shared" ref="AN29" si="17">IF(AP29="","",IF(R29&lt;P29,"！加算の要件上は問題ありませんが、令和６年３月と比較して４・５月に加算率が下がる計画になっています。",""))</f>
        <v/>
      </c>
      <c r="AP29" s="569" t="str">
        <f>IF(K29&lt;&gt;"","P列・R列に色付け","")</f>
        <v/>
      </c>
      <c r="AQ29" s="570" t="str">
        <f>IFERROR(VLOOKUP(K29,【参考】数式用!$AJ$2:$AK$24,2,FALSE),"")</f>
        <v/>
      </c>
      <c r="AR29" s="572" t="str">
        <f>Q29&amp;Q30&amp;Q31</f>
        <v/>
      </c>
      <c r="AS29" s="570" t="str">
        <f>IF(AG31&lt;&gt;"",IF(AH31="○","入力済","未入力"),"")</f>
        <v>未入力</v>
      </c>
      <c r="AT29" s="571" t="str">
        <f>IF(OR(Q29="処遇加算Ⅰ",Q29="処遇加算Ⅱ"),IF(OR(AI29="○",AI29="令和６年度中に満たす"),"入力済","未入力"),"")</f>
        <v/>
      </c>
      <c r="AU29" s="572" t="str">
        <f>IF(Q29="処遇加算Ⅲ",IF(AJ29="○","入力済","未入力"),"")</f>
        <v/>
      </c>
      <c r="AV29" s="570" t="str">
        <f>IF(Q29="処遇加算Ⅰ",IF(OR(AK29="○",AK29="令和６年度中に満たす"),"入力済","未入力"),"")</f>
        <v/>
      </c>
      <c r="AW29" s="570"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IF(Q30="特定加算Ⅰ",IF(AM30="","未入力","入力済"),"")</f>
        <v/>
      </c>
      <c r="AY29" s="555" t="str">
        <f>G29</f>
        <v/>
      </c>
    </row>
    <row r="30" spans="1:51" ht="32.1" customHeight="1">
      <c r="A30" s="1315"/>
      <c r="B30" s="1226"/>
      <c r="C30" s="1226"/>
      <c r="D30" s="1226"/>
      <c r="E30" s="1226"/>
      <c r="F30" s="1226"/>
      <c r="G30" s="1229"/>
      <c r="H30" s="1229"/>
      <c r="I30" s="1229"/>
      <c r="J30" s="1229"/>
      <c r="K30" s="1229"/>
      <c r="L30" s="1232"/>
      <c r="M30" s="1235"/>
      <c r="N30" s="573" t="s">
        <v>170</v>
      </c>
      <c r="O30" s="164"/>
      <c r="P30" s="574" t="str">
        <f>IFERROR(VLOOKUP(K29,【参考】数式用!$A$5:$J$27,MATCH(O30,【参考】数式用!$B$4:$J$4,0)+1,0),"")</f>
        <v/>
      </c>
      <c r="Q30" s="164"/>
      <c r="R30" s="574" t="str">
        <f>IFERROR(VLOOKUP(K29,【参考】数式用!$A$5:$J$27,MATCH(Q30,【参考】数式用!$B$4:$J$4,0)+1,0),"")</f>
        <v/>
      </c>
      <c r="S30" s="185" t="s">
        <v>19</v>
      </c>
      <c r="T30" s="575">
        <v>6</v>
      </c>
      <c r="U30" s="186" t="s">
        <v>10</v>
      </c>
      <c r="V30" s="121">
        <v>4</v>
      </c>
      <c r="W30" s="186" t="s">
        <v>45</v>
      </c>
      <c r="X30" s="575">
        <v>6</v>
      </c>
      <c r="Y30" s="186" t="s">
        <v>10</v>
      </c>
      <c r="Z30" s="121">
        <v>5</v>
      </c>
      <c r="AA30" s="186" t="s">
        <v>13</v>
      </c>
      <c r="AB30" s="576" t="s">
        <v>24</v>
      </c>
      <c r="AC30" s="577">
        <f t="shared" si="4"/>
        <v>2</v>
      </c>
      <c r="AD30" s="186" t="s">
        <v>38</v>
      </c>
      <c r="AE30" s="578" t="str">
        <f>IFERROR(ROUNDDOWN(ROUND(L29*R30,0)*M29,0)*AC30,"")</f>
        <v/>
      </c>
      <c r="AF30" s="579" t="str">
        <f>IFERROR(ROUNDDOWN(ROUND(L29*(R30-P30),0)*M29,0)*AC30,"")</f>
        <v/>
      </c>
      <c r="AG30" s="580"/>
      <c r="AH30" s="465"/>
      <c r="AI30" s="466"/>
      <c r="AJ30" s="467"/>
      <c r="AK30" s="468"/>
      <c r="AL30" s="469"/>
      <c r="AM30" s="470"/>
      <c r="AN30" s="581"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
      </c>
      <c r="AY30" s="555" t="str">
        <f>G29</f>
        <v/>
      </c>
    </row>
    <row r="31" spans="1:51" ht="32.1" customHeight="1" thickBot="1">
      <c r="A31" s="1316"/>
      <c r="B31" s="1227"/>
      <c r="C31" s="1227"/>
      <c r="D31" s="1227"/>
      <c r="E31" s="1227"/>
      <c r="F31" s="1227"/>
      <c r="G31" s="1230"/>
      <c r="H31" s="1230"/>
      <c r="I31" s="1230"/>
      <c r="J31" s="1230"/>
      <c r="K31" s="1230"/>
      <c r="L31" s="1233"/>
      <c r="M31" s="1236"/>
      <c r="N31" s="597" t="s">
        <v>140</v>
      </c>
      <c r="O31" s="167"/>
      <c r="P31" s="584" t="str">
        <f>IFERROR(VLOOKUP(K29,【参考】数式用!$A$5:$J$27,MATCH(O31,【参考】数式用!$B$4:$J$4,0)+1,0),"")</f>
        <v/>
      </c>
      <c r="Q31" s="167"/>
      <c r="R31" s="603" t="str">
        <f>IFERROR(VLOOKUP(K29,【参考】数式用!$A$5:$J$27,MATCH(Q31,【参考】数式用!$B$4:$J$4,0)+1,0),"")</f>
        <v/>
      </c>
      <c r="S31" s="604" t="s">
        <v>19</v>
      </c>
      <c r="T31" s="605">
        <v>6</v>
      </c>
      <c r="U31" s="223" t="s">
        <v>10</v>
      </c>
      <c r="V31" s="135">
        <v>4</v>
      </c>
      <c r="W31" s="223" t="s">
        <v>45</v>
      </c>
      <c r="X31" s="605">
        <v>6</v>
      </c>
      <c r="Y31" s="223" t="s">
        <v>10</v>
      </c>
      <c r="Z31" s="135">
        <v>5</v>
      </c>
      <c r="AA31" s="223" t="s">
        <v>13</v>
      </c>
      <c r="AB31" s="606" t="s">
        <v>24</v>
      </c>
      <c r="AC31" s="607">
        <f t="shared" si="4"/>
        <v>2</v>
      </c>
      <c r="AD31" s="223" t="s">
        <v>38</v>
      </c>
      <c r="AE31" s="608" t="str">
        <f>IFERROR(ROUNDDOWN(ROUND(L29*R31,0)*M29,0)*AC31,"")</f>
        <v/>
      </c>
      <c r="AF31" s="591" t="str">
        <f>IFERROR(ROUNDDOWN(ROUND(L29*(R31-P31),0)*M29,0)*AC31,"")</f>
        <v/>
      </c>
      <c r="AG31" s="592">
        <f t="shared" ref="AG31" si="19">IF(AND(O31="ベア加算なし",Q31="ベア加算"),AE31,0)</f>
        <v>0</v>
      </c>
      <c r="AH31" s="471"/>
      <c r="AI31" s="472"/>
      <c r="AJ31" s="473"/>
      <c r="AK31" s="474"/>
      <c r="AL31" s="475"/>
      <c r="AM31" s="476"/>
      <c r="AN31" s="593"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
      </c>
      <c r="AQ31" s="595"/>
      <c r="AR31" s="595"/>
      <c r="AX31" s="596"/>
      <c r="AY31" s="555" t="str">
        <f>G29</f>
        <v/>
      </c>
    </row>
    <row r="32" spans="1:51" ht="32.1" customHeight="1">
      <c r="A32" s="1314">
        <v>7</v>
      </c>
      <c r="B32" s="1225" t="str">
        <f>IF(基本情報入力シート!C60="","",基本情報入力シート!C60)</f>
        <v/>
      </c>
      <c r="C32" s="1225"/>
      <c r="D32" s="1225"/>
      <c r="E32" s="1225"/>
      <c r="F32" s="1225"/>
      <c r="G32" s="1228" t="str">
        <f>IF(基本情報入力シート!M60="","",基本情報入力シート!M60)</f>
        <v/>
      </c>
      <c r="H32" s="1228" t="str">
        <f>IF(基本情報入力シート!R60="","",基本情報入力シート!R60)</f>
        <v/>
      </c>
      <c r="I32" s="1228" t="str">
        <f>IF(基本情報入力シート!W60="","",基本情報入力シート!W60)</f>
        <v/>
      </c>
      <c r="J32" s="1228" t="str">
        <f>IF(基本情報入力シート!X60="","",基本情報入力シート!X60)</f>
        <v/>
      </c>
      <c r="K32" s="1228" t="str">
        <f>IF(基本情報入力シート!Y60="","",基本情報入力シート!Y60)</f>
        <v/>
      </c>
      <c r="L32" s="1231" t="str">
        <f>IF(基本情報入力シート!AB60="","",基本情報入力シート!AB60)</f>
        <v/>
      </c>
      <c r="M32" s="1234" t="str">
        <f>IF(基本情報入力シート!AC60="","",基本情報入力シート!AC60)</f>
        <v/>
      </c>
      <c r="N32" s="559" t="s">
        <v>183</v>
      </c>
      <c r="O32" s="163"/>
      <c r="P32" s="560" t="str">
        <f>IFERROR(VLOOKUP(K32,【参考】数式用!$A$5:$J$27,MATCH(O32,【参考】数式用!$B$4:$J$4,0)+1,0),"")</f>
        <v/>
      </c>
      <c r="Q32" s="163"/>
      <c r="R32" s="560" t="str">
        <f>IFERROR(VLOOKUP(K32,【参考】数式用!$A$5:$J$27,MATCH(Q32,【参考】数式用!$B$4:$J$4,0)+1,0),"")</f>
        <v/>
      </c>
      <c r="S32" s="561" t="s">
        <v>19</v>
      </c>
      <c r="T32" s="562">
        <v>6</v>
      </c>
      <c r="U32" s="214" t="s">
        <v>10</v>
      </c>
      <c r="V32" s="79">
        <v>4</v>
      </c>
      <c r="W32" s="214" t="s">
        <v>45</v>
      </c>
      <c r="X32" s="562">
        <v>6</v>
      </c>
      <c r="Y32" s="214" t="s">
        <v>10</v>
      </c>
      <c r="Z32" s="79">
        <v>5</v>
      </c>
      <c r="AA32" s="214" t="s">
        <v>13</v>
      </c>
      <c r="AB32" s="563" t="s">
        <v>24</v>
      </c>
      <c r="AC32" s="564">
        <f t="shared" si="4"/>
        <v>2</v>
      </c>
      <c r="AD32" s="214" t="s">
        <v>38</v>
      </c>
      <c r="AE32" s="565" t="str">
        <f>IFERROR(ROUNDDOWN(ROUND(L32*R32,0)*M32,0)*AC32,"")</f>
        <v/>
      </c>
      <c r="AF32" s="566" t="str">
        <f>IFERROR(ROUNDDOWN(ROUND(L32*(R32-P32),0)*M32,0)*AC32,"")</f>
        <v/>
      </c>
      <c r="AG32" s="567"/>
      <c r="AH32" s="477"/>
      <c r="AI32" s="485"/>
      <c r="AJ32" s="482"/>
      <c r="AK32" s="483"/>
      <c r="AL32" s="463"/>
      <c r="AM32" s="464"/>
      <c r="AN32" s="568" t="str">
        <f t="shared" ref="AN32" si="21">IF(AP32="","",IF(R32&lt;P32,"！加算の要件上は問題ありませんが、令和６年３月と比較して４・５月に加算率が下がる計画になっています。",""))</f>
        <v/>
      </c>
      <c r="AP32" s="569" t="str">
        <f>IF(K32&lt;&gt;"","P列・R列に色付け","")</f>
        <v/>
      </c>
      <c r="AQ32" s="570" t="str">
        <f>IFERROR(VLOOKUP(K32,【参考】数式用!$AJ$2:$AK$24,2,FALSE),"")</f>
        <v/>
      </c>
      <c r="AR32" s="572" t="str">
        <f>Q32&amp;Q33&amp;Q34</f>
        <v/>
      </c>
      <c r="AS32" s="570" t="str">
        <f>IF(AG34&lt;&gt;"",IF(AH34="○","入力済","未入力"),"")</f>
        <v>未入力</v>
      </c>
      <c r="AT32" s="571" t="str">
        <f>IF(OR(Q32="処遇加算Ⅰ",Q32="処遇加算Ⅱ"),IF(OR(AI32="○",AI32="令和６年度中に満たす"),"入力済","未入力"),"")</f>
        <v/>
      </c>
      <c r="AU32" s="572" t="str">
        <f>IF(Q32="処遇加算Ⅲ",IF(AJ32="○","入力済","未入力"),"")</f>
        <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
      </c>
    </row>
    <row r="33" spans="1:51" ht="32.1" customHeight="1">
      <c r="A33" s="1315"/>
      <c r="B33" s="1226"/>
      <c r="C33" s="1226"/>
      <c r="D33" s="1226"/>
      <c r="E33" s="1226"/>
      <c r="F33" s="1226"/>
      <c r="G33" s="1229"/>
      <c r="H33" s="1229"/>
      <c r="I33" s="1229"/>
      <c r="J33" s="1229"/>
      <c r="K33" s="1229"/>
      <c r="L33" s="1232"/>
      <c r="M33" s="1235"/>
      <c r="N33" s="573" t="s">
        <v>170</v>
      </c>
      <c r="O33" s="164"/>
      <c r="P33" s="574" t="str">
        <f>IFERROR(VLOOKUP(K32,【参考】数式用!$A$5:$J$27,MATCH(O33,【参考】数式用!$B$4:$J$4,0)+1,0),"")</f>
        <v/>
      </c>
      <c r="Q33" s="164"/>
      <c r="R33" s="574" t="str">
        <f>IFERROR(VLOOKUP(K32,【参考】数式用!$A$5:$J$27,MATCH(Q33,【参考】数式用!$B$4:$J$4,0)+1,0),"")</f>
        <v/>
      </c>
      <c r="S33" s="185" t="s">
        <v>19</v>
      </c>
      <c r="T33" s="575">
        <v>6</v>
      </c>
      <c r="U33" s="186" t="s">
        <v>10</v>
      </c>
      <c r="V33" s="121">
        <v>4</v>
      </c>
      <c r="W33" s="186" t="s">
        <v>45</v>
      </c>
      <c r="X33" s="575">
        <v>6</v>
      </c>
      <c r="Y33" s="186" t="s">
        <v>10</v>
      </c>
      <c r="Z33" s="121">
        <v>5</v>
      </c>
      <c r="AA33" s="186" t="s">
        <v>13</v>
      </c>
      <c r="AB33" s="576" t="s">
        <v>24</v>
      </c>
      <c r="AC33" s="577">
        <f t="shared" si="4"/>
        <v>2</v>
      </c>
      <c r="AD33" s="186" t="s">
        <v>38</v>
      </c>
      <c r="AE33" s="578" t="str">
        <f>IFERROR(ROUNDDOWN(ROUND(L32*R33,0)*M32,0)*AC33,"")</f>
        <v/>
      </c>
      <c r="AF33" s="579" t="str">
        <f>IFERROR(ROUNDDOWN(ROUND(L32*(R33-P33),0)*M32,0)*AC33,"")</f>
        <v/>
      </c>
      <c r="AG33" s="580"/>
      <c r="AH33" s="465"/>
      <c r="AI33" s="466"/>
      <c r="AJ33" s="467"/>
      <c r="AK33" s="468"/>
      <c r="AL33" s="469"/>
      <c r="AM33" s="470"/>
      <c r="AN33" s="581"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
      </c>
      <c r="AY33" s="555" t="str">
        <f>G32</f>
        <v/>
      </c>
    </row>
    <row r="34" spans="1:51" ht="32.1" customHeight="1" thickBot="1">
      <c r="A34" s="1316"/>
      <c r="B34" s="1227"/>
      <c r="C34" s="1227"/>
      <c r="D34" s="1227"/>
      <c r="E34" s="1227"/>
      <c r="F34" s="1227"/>
      <c r="G34" s="1230"/>
      <c r="H34" s="1230"/>
      <c r="I34" s="1230"/>
      <c r="J34" s="1230"/>
      <c r="K34" s="1230"/>
      <c r="L34" s="1233"/>
      <c r="M34" s="1236"/>
      <c r="N34" s="583" t="s">
        <v>140</v>
      </c>
      <c r="O34" s="167"/>
      <c r="P34" s="603" t="str">
        <f>IFERROR(VLOOKUP(K32,【参考】数式用!$A$5:$J$27,MATCH(O34,【参考】数式用!$B$4:$J$4,0)+1,0),"")</f>
        <v/>
      </c>
      <c r="Q34" s="165"/>
      <c r="R34" s="584" t="str">
        <f>IFERROR(VLOOKUP(K32,【参考】数式用!$A$5:$J$27,MATCH(Q34,【参考】数式用!$B$4:$J$4,0)+1,0),"")</f>
        <v/>
      </c>
      <c r="S34" s="585" t="s">
        <v>19</v>
      </c>
      <c r="T34" s="586">
        <v>6</v>
      </c>
      <c r="U34" s="587" t="s">
        <v>10</v>
      </c>
      <c r="V34" s="122">
        <v>4</v>
      </c>
      <c r="W34" s="587" t="s">
        <v>45</v>
      </c>
      <c r="X34" s="586">
        <v>6</v>
      </c>
      <c r="Y34" s="587" t="s">
        <v>10</v>
      </c>
      <c r="Z34" s="122">
        <v>5</v>
      </c>
      <c r="AA34" s="587" t="s">
        <v>13</v>
      </c>
      <c r="AB34" s="588" t="s">
        <v>24</v>
      </c>
      <c r="AC34" s="589">
        <f t="shared" si="4"/>
        <v>2</v>
      </c>
      <c r="AD34" s="587" t="s">
        <v>38</v>
      </c>
      <c r="AE34" s="590" t="str">
        <f>IFERROR(ROUNDDOWN(ROUND(L32*R34,0)*M32,0)*AC34,"")</f>
        <v/>
      </c>
      <c r="AF34" s="591" t="str">
        <f>IFERROR(ROUNDDOWN(ROUND(L32*(R34-P34),0)*M32,0)*AC34,"")</f>
        <v/>
      </c>
      <c r="AG34" s="592">
        <f t="shared" ref="AG34" si="23">IF(AND(O34="ベア加算なし",Q34="ベア加算"),AE34,0)</f>
        <v>0</v>
      </c>
      <c r="AH34" s="471"/>
      <c r="AI34" s="472"/>
      <c r="AJ34" s="473"/>
      <c r="AK34" s="474"/>
      <c r="AL34" s="475"/>
      <c r="AM34" s="476"/>
      <c r="AN34" s="593"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IF(K32&lt;&gt;"","P列・R列に色付け","")</f>
        <v/>
      </c>
      <c r="AQ34" s="595"/>
      <c r="AR34" s="595"/>
      <c r="AX34" s="596"/>
      <c r="AY34" s="555" t="str">
        <f>G32</f>
        <v/>
      </c>
    </row>
    <row r="35" spans="1:51" ht="32.1" customHeight="1">
      <c r="A35" s="1314">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183</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25">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26">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IF(AG37&lt;&gt;"",IF(AH37="○","入力済","未入力"),"")</f>
        <v>未入力</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315"/>
      <c r="B36" s="1226"/>
      <c r="C36" s="1226"/>
      <c r="D36" s="1226"/>
      <c r="E36" s="1226"/>
      <c r="F36" s="1226"/>
      <c r="G36" s="1229"/>
      <c r="H36" s="1229"/>
      <c r="I36" s="1229"/>
      <c r="J36" s="1229"/>
      <c r="K36" s="1229"/>
      <c r="L36" s="1232"/>
      <c r="M36" s="1235"/>
      <c r="N36" s="573" t="s">
        <v>170</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25"/>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316"/>
      <c r="B37" s="1227"/>
      <c r="C37" s="1317"/>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25"/>
        <v>2</v>
      </c>
      <c r="AD37" s="587" t="s">
        <v>38</v>
      </c>
      <c r="AE37" s="602" t="str">
        <f>IFERROR(ROUNDDOWN(ROUND(L35*R37,0)*M35,0)*AC37,"")</f>
        <v/>
      </c>
      <c r="AF37" s="591" t="str">
        <f>IFERROR(ROUNDDOWN(ROUND(L35*(R37-P37),0)*M35,0)*AC37,"")</f>
        <v/>
      </c>
      <c r="AG37" s="592">
        <f t="shared" ref="AG37" si="28">IF(AND(O37="ベア加算なし",Q37="ベア加算"),AE37,0)</f>
        <v>0</v>
      </c>
      <c r="AH37" s="471"/>
      <c r="AI37" s="472"/>
      <c r="AJ37" s="473"/>
      <c r="AK37" s="474"/>
      <c r="AL37" s="475"/>
      <c r="AM37" s="476"/>
      <c r="AN37" s="593"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314">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183</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25"/>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0">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IF(AG40&lt;&gt;"",IF(AH40="○","入力済","未入力"),"")</f>
        <v>未入力</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315"/>
      <c r="B39" s="1226"/>
      <c r="C39" s="1226"/>
      <c r="D39" s="1226"/>
      <c r="E39" s="1226"/>
      <c r="F39" s="1226"/>
      <c r="G39" s="1229"/>
      <c r="H39" s="1229"/>
      <c r="I39" s="1229"/>
      <c r="J39" s="1229"/>
      <c r="K39" s="1229"/>
      <c r="L39" s="1232"/>
      <c r="M39" s="1235"/>
      <c r="N39" s="573" t="s">
        <v>170</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25"/>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312"/>
      <c r="H40" s="1312"/>
      <c r="I40" s="1312"/>
      <c r="J40" s="1312"/>
      <c r="K40" s="1312"/>
      <c r="L40" s="1308"/>
      <c r="M40" s="1310"/>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25"/>
        <v>2</v>
      </c>
      <c r="AD40" s="223" t="s">
        <v>38</v>
      </c>
      <c r="AE40" s="608" t="str">
        <f>IFERROR(ROUNDDOWN(ROUND(L38*R40,0)*M38,0)*AC40,"")</f>
        <v/>
      </c>
      <c r="AF40" s="609" t="str">
        <f>IFERROR(ROUNDDOWN(ROUND(L38*(R40-P40),0)*M38,0)*AC40,"")</f>
        <v/>
      </c>
      <c r="AG40" s="592">
        <f t="shared" ref="AG40" si="32">IF(AND(O40="ベア加算なし",Q40="ベア加算"),AE40,0)</f>
        <v>0</v>
      </c>
      <c r="AH40" s="487"/>
      <c r="AI40" s="488"/>
      <c r="AJ40" s="489"/>
      <c r="AK40" s="490"/>
      <c r="AL40" s="491"/>
      <c r="AM40" s="492"/>
      <c r="AN40" s="593"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314">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183</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25"/>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34">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IF(AG43&lt;&gt;"",IF(AH43="○","入力済","未入力"),"")</f>
        <v>未入力</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315"/>
      <c r="B42" s="1226"/>
      <c r="C42" s="1226"/>
      <c r="D42" s="1226"/>
      <c r="E42" s="1226"/>
      <c r="F42" s="1226"/>
      <c r="G42" s="1229"/>
      <c r="H42" s="1229"/>
      <c r="I42" s="1229"/>
      <c r="J42" s="1229"/>
      <c r="K42" s="1229"/>
      <c r="L42" s="1232"/>
      <c r="M42" s="1235"/>
      <c r="N42" s="573" t="s">
        <v>170</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25"/>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316"/>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25"/>
        <v>2</v>
      </c>
      <c r="AD43" s="587" t="s">
        <v>38</v>
      </c>
      <c r="AE43" s="590" t="str">
        <f>IFERROR(ROUNDDOWN(ROUND(L41*R43,0)*M41,0)*AC43,"")</f>
        <v/>
      </c>
      <c r="AF43" s="591" t="str">
        <f>IFERROR(ROUNDDOWN(ROUND(L41*(R43-P43),0)*M41,0)*AC43,"")</f>
        <v/>
      </c>
      <c r="AG43" s="592">
        <f t="shared" ref="AG43" si="36">IF(AND(O43="ベア加算なし",Q43="ベア加算"),AE43,0)</f>
        <v>0</v>
      </c>
      <c r="AH43" s="471"/>
      <c r="AI43" s="472"/>
      <c r="AJ43" s="473"/>
      <c r="AK43" s="474"/>
      <c r="AL43" s="475"/>
      <c r="AM43" s="476"/>
      <c r="AN43" s="593"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313" t="str">
        <f>IF(基本情報入力シート!C64="","",基本情報入力シート!C64)</f>
        <v/>
      </c>
      <c r="C44" s="1313"/>
      <c r="D44" s="1313"/>
      <c r="E44" s="1313"/>
      <c r="F44" s="1313"/>
      <c r="G44" s="1311" t="str">
        <f>IF(基本情報入力シート!M64="","",基本情報入力シート!M64)</f>
        <v/>
      </c>
      <c r="H44" s="1311" t="str">
        <f>IF(基本情報入力シート!R64="","",基本情報入力シート!R64)</f>
        <v/>
      </c>
      <c r="I44" s="1311" t="str">
        <f>IF(基本情報入力シート!W64="","",基本情報入力シート!W64)</f>
        <v/>
      </c>
      <c r="J44" s="1311" t="str">
        <f>IF(基本情報入力シート!X64="","",基本情報入力シート!X64)</f>
        <v/>
      </c>
      <c r="K44" s="1311" t="str">
        <f>IF(基本情報入力シート!Y64="","",基本情報入力シート!Y64)</f>
        <v/>
      </c>
      <c r="L44" s="1307" t="str">
        <f>IF(基本情報入力シート!AB64="","",基本情報入力シート!AB64)</f>
        <v/>
      </c>
      <c r="M44" s="1309" t="str">
        <f>IF(基本情報入力シート!AC64="","",基本情報入力シート!AC64)</f>
        <v/>
      </c>
      <c r="N44" s="597" t="s">
        <v>183</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25"/>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38">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IF(AG46&lt;&gt;"",IF(AH46="○","入力済","未入力"),"")</f>
        <v>未入力</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315"/>
      <c r="B45" s="1226"/>
      <c r="C45" s="1226"/>
      <c r="D45" s="1226"/>
      <c r="E45" s="1226"/>
      <c r="F45" s="1226"/>
      <c r="G45" s="1229"/>
      <c r="H45" s="1229"/>
      <c r="I45" s="1229"/>
      <c r="J45" s="1229"/>
      <c r="K45" s="1229"/>
      <c r="L45" s="1232"/>
      <c r="M45" s="1235"/>
      <c r="N45" s="573" t="s">
        <v>170</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25"/>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316"/>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25"/>
        <v>2</v>
      </c>
      <c r="AD46" s="587" t="s">
        <v>38</v>
      </c>
      <c r="AE46" s="602" t="str">
        <f>IFERROR(ROUNDDOWN(ROUND(L44*R46,0)*M44,0)*AC46,"")</f>
        <v/>
      </c>
      <c r="AF46" s="591" t="str">
        <f>IFERROR(ROUNDDOWN(ROUND(L44*(R46-P46),0)*M44,0)*AC46,"")</f>
        <v/>
      </c>
      <c r="AG46" s="592">
        <f t="shared" ref="AG46" si="40">IF(AND(O46="ベア加算なし",Q46="ベア加算"),AE46,0)</f>
        <v>0</v>
      </c>
      <c r="AH46" s="471"/>
      <c r="AI46" s="472"/>
      <c r="AJ46" s="473"/>
      <c r="AK46" s="474"/>
      <c r="AL46" s="475"/>
      <c r="AM46" s="476"/>
      <c r="AN46" s="593"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314">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183</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4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4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IF(AG49&lt;&gt;"",IF(AH49="○","入力済","未入力"),"")</f>
        <v>未入力</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315"/>
      <c r="B48" s="1226"/>
      <c r="C48" s="1226"/>
      <c r="D48" s="1226"/>
      <c r="E48" s="1226"/>
      <c r="F48" s="1226"/>
      <c r="G48" s="1229"/>
      <c r="H48" s="1229"/>
      <c r="I48" s="1229"/>
      <c r="J48" s="1229"/>
      <c r="K48" s="1229"/>
      <c r="L48" s="1232"/>
      <c r="M48" s="1235"/>
      <c r="N48" s="573" t="s">
        <v>170</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4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316"/>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42"/>
        <v>2</v>
      </c>
      <c r="AD49" s="587" t="s">
        <v>38</v>
      </c>
      <c r="AE49" s="602" t="str">
        <f>IFERROR(ROUNDDOWN(ROUND(L47*R49,0)*M47,0)*AC49,"")</f>
        <v/>
      </c>
      <c r="AF49" s="591" t="str">
        <f>IFERROR(ROUNDDOWN(ROUND(L47*(R49-P49),0)*M47,0)*AC49,"")</f>
        <v/>
      </c>
      <c r="AG49" s="592">
        <f t="shared" ref="AG49" si="45">IF(AND(O49="ベア加算なし",Q49="ベア加算"),AE49,0)</f>
        <v>0</v>
      </c>
      <c r="AH49" s="471"/>
      <c r="AI49" s="472"/>
      <c r="AJ49" s="473"/>
      <c r="AK49" s="474"/>
      <c r="AL49" s="475"/>
      <c r="AM49" s="476"/>
      <c r="AN49" s="593"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314">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183</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4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47">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IF(AG52&lt;&gt;"",IF(AH52="○","入力済","未入力"),"")</f>
        <v>未入力</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315"/>
      <c r="B51" s="1226"/>
      <c r="C51" s="1226"/>
      <c r="D51" s="1226"/>
      <c r="E51" s="1226"/>
      <c r="F51" s="1226"/>
      <c r="G51" s="1229"/>
      <c r="H51" s="1229"/>
      <c r="I51" s="1229"/>
      <c r="J51" s="1229"/>
      <c r="K51" s="1229"/>
      <c r="L51" s="1232"/>
      <c r="M51" s="1235"/>
      <c r="N51" s="573" t="s">
        <v>170</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4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316"/>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42"/>
        <v>2</v>
      </c>
      <c r="AD52" s="587" t="s">
        <v>38</v>
      </c>
      <c r="AE52" s="602" t="str">
        <f>IFERROR(ROUNDDOWN(ROUND(L50*R52,0)*M50,0)*AC52,"")</f>
        <v/>
      </c>
      <c r="AF52" s="591" t="str">
        <f>IFERROR(ROUNDDOWN(ROUND(L50*(R52-P52),0)*M50,0)*AC52,"")</f>
        <v/>
      </c>
      <c r="AG52" s="592">
        <f t="shared" ref="AG52" si="49">IF(AND(O52="ベア加算なし",Q52="ベア加算"),AE52,0)</f>
        <v>0</v>
      </c>
      <c r="AH52" s="471"/>
      <c r="AI52" s="472"/>
      <c r="AJ52" s="473"/>
      <c r="AK52" s="474"/>
      <c r="AL52" s="475"/>
      <c r="AM52" s="476"/>
      <c r="AN52" s="593"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314">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183</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4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51">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IF(AG55&lt;&gt;"",IF(AH55="○","入力済","未入力"),"")</f>
        <v>未入力</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315"/>
      <c r="B54" s="1226"/>
      <c r="C54" s="1226"/>
      <c r="D54" s="1226"/>
      <c r="E54" s="1226"/>
      <c r="F54" s="1226"/>
      <c r="G54" s="1229"/>
      <c r="H54" s="1229"/>
      <c r="I54" s="1229"/>
      <c r="J54" s="1229"/>
      <c r="K54" s="1229"/>
      <c r="L54" s="1232"/>
      <c r="M54" s="1235"/>
      <c r="N54" s="573" t="s">
        <v>170</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4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316"/>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42"/>
        <v>2</v>
      </c>
      <c r="AD55" s="587" t="s">
        <v>38</v>
      </c>
      <c r="AE55" s="602" t="str">
        <f>IFERROR(ROUNDDOWN(ROUND(L53*R55,0)*M53,0)*AC55,"")</f>
        <v/>
      </c>
      <c r="AF55" s="591" t="str">
        <f>IFERROR(ROUNDDOWN(ROUND(L53*(R55-P55),0)*M53,0)*AC55,"")</f>
        <v/>
      </c>
      <c r="AG55" s="592">
        <f t="shared" ref="AG55:AG118" si="53">IF(AND(O55="ベア加算なし",Q55="ベア加算"),AE55,0)</f>
        <v>0</v>
      </c>
      <c r="AH55" s="471"/>
      <c r="AI55" s="472"/>
      <c r="AJ55" s="473"/>
      <c r="AK55" s="474"/>
      <c r="AL55" s="475"/>
      <c r="AM55" s="476"/>
      <c r="AN55" s="593"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314">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183</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4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55">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IF(AG58&lt;&gt;"",IF(AH58="○","入力済","未入力"),"")</f>
        <v>未入力</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315"/>
      <c r="B57" s="1226"/>
      <c r="C57" s="1226"/>
      <c r="D57" s="1226"/>
      <c r="E57" s="1226"/>
      <c r="F57" s="1226"/>
      <c r="G57" s="1229"/>
      <c r="H57" s="1229"/>
      <c r="I57" s="1229"/>
      <c r="J57" s="1229"/>
      <c r="K57" s="1229"/>
      <c r="L57" s="1232"/>
      <c r="M57" s="1235"/>
      <c r="N57" s="573" t="s">
        <v>170</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4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316"/>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42"/>
        <v>2</v>
      </c>
      <c r="AD58" s="587" t="s">
        <v>38</v>
      </c>
      <c r="AE58" s="602" t="str">
        <f>IFERROR(ROUNDDOWN(ROUND(L56*R58,0)*M56,0)*AC58,"")</f>
        <v/>
      </c>
      <c r="AF58" s="591" t="str">
        <f>IFERROR(ROUNDDOWN(ROUND(L56*(R58-P58),0)*M56,0)*AC58,"")</f>
        <v/>
      </c>
      <c r="AG58" s="592">
        <f t="shared" si="53"/>
        <v>0</v>
      </c>
      <c r="AH58" s="471"/>
      <c r="AI58" s="472"/>
      <c r="AJ58" s="473"/>
      <c r="AK58" s="474"/>
      <c r="AL58" s="475"/>
      <c r="AM58" s="476"/>
      <c r="AN58" s="593"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314">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183</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4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58">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IF(AG61&lt;&gt;"",IF(AH61="○","入力済","未入力"),"")</f>
        <v>未入力</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315"/>
      <c r="B60" s="1226"/>
      <c r="C60" s="1226"/>
      <c r="D60" s="1226"/>
      <c r="E60" s="1226"/>
      <c r="F60" s="1226"/>
      <c r="G60" s="1229"/>
      <c r="H60" s="1229"/>
      <c r="I60" s="1229"/>
      <c r="J60" s="1229"/>
      <c r="K60" s="1229"/>
      <c r="L60" s="1232"/>
      <c r="M60" s="1235"/>
      <c r="N60" s="573" t="s">
        <v>170</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4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316"/>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42"/>
        <v>2</v>
      </c>
      <c r="AD61" s="587" t="s">
        <v>38</v>
      </c>
      <c r="AE61" s="602" t="str">
        <f>IFERROR(ROUNDDOWN(ROUND(L59*R61,0)*M59,0)*AC61,"")</f>
        <v/>
      </c>
      <c r="AF61" s="591" t="str">
        <f>IFERROR(ROUNDDOWN(ROUND(L59*(R61-P61),0)*M59,0)*AC61,"")</f>
        <v/>
      </c>
      <c r="AG61" s="592">
        <f t="shared" si="53"/>
        <v>0</v>
      </c>
      <c r="AH61" s="471"/>
      <c r="AI61" s="472"/>
      <c r="AJ61" s="473"/>
      <c r="AK61" s="474"/>
      <c r="AL61" s="475"/>
      <c r="AM61" s="476"/>
      <c r="AN61" s="593"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314">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183</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4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61">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IF(AG64&lt;&gt;"",IF(AH64="○","入力済","未入力"),"")</f>
        <v>未入力</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315"/>
      <c r="B63" s="1226"/>
      <c r="C63" s="1226"/>
      <c r="D63" s="1226"/>
      <c r="E63" s="1226"/>
      <c r="F63" s="1226"/>
      <c r="G63" s="1229"/>
      <c r="H63" s="1229"/>
      <c r="I63" s="1229"/>
      <c r="J63" s="1229"/>
      <c r="K63" s="1229"/>
      <c r="L63" s="1232"/>
      <c r="M63" s="1235"/>
      <c r="N63" s="573" t="s">
        <v>170</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4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316"/>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42"/>
        <v>2</v>
      </c>
      <c r="AD64" s="587" t="s">
        <v>38</v>
      </c>
      <c r="AE64" s="602" t="str">
        <f>IFERROR(ROUNDDOWN(ROUND(L62*R64,0)*M62,0)*AC64,"")</f>
        <v/>
      </c>
      <c r="AF64" s="591" t="str">
        <f>IFERROR(ROUNDDOWN(ROUND(L62*(R64-P64),0)*M62,0)*AC64,"")</f>
        <v/>
      </c>
      <c r="AG64" s="592">
        <f t="shared" si="53"/>
        <v>0</v>
      </c>
      <c r="AH64" s="471"/>
      <c r="AI64" s="472"/>
      <c r="AJ64" s="473"/>
      <c r="AK64" s="474"/>
      <c r="AL64" s="475"/>
      <c r="AM64" s="476"/>
      <c r="AN64" s="593"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314">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183</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4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64">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IF(AG67&lt;&gt;"",IF(AH67="○","入力済","未入力"),"")</f>
        <v>未入力</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315"/>
      <c r="B66" s="1226"/>
      <c r="C66" s="1226"/>
      <c r="D66" s="1226"/>
      <c r="E66" s="1226"/>
      <c r="F66" s="1226"/>
      <c r="G66" s="1229"/>
      <c r="H66" s="1229"/>
      <c r="I66" s="1229"/>
      <c r="J66" s="1229"/>
      <c r="K66" s="1229"/>
      <c r="L66" s="1232"/>
      <c r="M66" s="1235"/>
      <c r="N66" s="573" t="s">
        <v>170</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4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316"/>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42"/>
        <v>2</v>
      </c>
      <c r="AD67" s="587" t="s">
        <v>38</v>
      </c>
      <c r="AE67" s="602" t="str">
        <f>IFERROR(ROUNDDOWN(ROUND(L65*R67,0)*M65,0)*AC67,"")</f>
        <v/>
      </c>
      <c r="AF67" s="591" t="str">
        <f>IFERROR(ROUNDDOWN(ROUND(L65*(R67-P67),0)*M65,0)*AC67,"")</f>
        <v/>
      </c>
      <c r="AG67" s="592">
        <f t="shared" si="53"/>
        <v>0</v>
      </c>
      <c r="AH67" s="471"/>
      <c r="AI67" s="472"/>
      <c r="AJ67" s="473"/>
      <c r="AK67" s="474"/>
      <c r="AL67" s="475"/>
      <c r="AM67" s="476"/>
      <c r="AN67" s="593"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314">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183</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4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67">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IF(AG70&lt;&gt;"",IF(AH70="○","入力済","未入力"),"")</f>
        <v>未入力</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315"/>
      <c r="B69" s="1226"/>
      <c r="C69" s="1226"/>
      <c r="D69" s="1226"/>
      <c r="E69" s="1226"/>
      <c r="F69" s="1226"/>
      <c r="G69" s="1229"/>
      <c r="H69" s="1229"/>
      <c r="I69" s="1229"/>
      <c r="J69" s="1229"/>
      <c r="K69" s="1229"/>
      <c r="L69" s="1232"/>
      <c r="M69" s="1235"/>
      <c r="N69" s="573" t="s">
        <v>170</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4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316"/>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42"/>
        <v>2</v>
      </c>
      <c r="AD70" s="587" t="s">
        <v>38</v>
      </c>
      <c r="AE70" s="602" t="str">
        <f>IFERROR(ROUNDDOWN(ROUND(L68*R70,0)*M68,0)*AC70,"")</f>
        <v/>
      </c>
      <c r="AF70" s="591" t="str">
        <f>IFERROR(ROUNDDOWN(ROUND(L68*(R70-P70),0)*M68,0)*AC70,"")</f>
        <v/>
      </c>
      <c r="AG70" s="592">
        <f t="shared" si="53"/>
        <v>0</v>
      </c>
      <c r="AH70" s="471"/>
      <c r="AI70" s="472"/>
      <c r="AJ70" s="473"/>
      <c r="AK70" s="474"/>
      <c r="AL70" s="475"/>
      <c r="AM70" s="476"/>
      <c r="AN70" s="593"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314">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183</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4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70">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IF(AG73&lt;&gt;"",IF(AH73="○","入力済","未入力"),"")</f>
        <v>未入力</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315"/>
      <c r="B72" s="1226"/>
      <c r="C72" s="1226"/>
      <c r="D72" s="1226"/>
      <c r="E72" s="1226"/>
      <c r="F72" s="1226"/>
      <c r="G72" s="1229"/>
      <c r="H72" s="1229"/>
      <c r="I72" s="1229"/>
      <c r="J72" s="1229"/>
      <c r="K72" s="1229"/>
      <c r="L72" s="1232"/>
      <c r="M72" s="1235"/>
      <c r="N72" s="573" t="s">
        <v>170</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4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316"/>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42"/>
        <v>2</v>
      </c>
      <c r="AD73" s="587" t="s">
        <v>38</v>
      </c>
      <c r="AE73" s="602" t="str">
        <f>IFERROR(ROUNDDOWN(ROUND(L71*R73,0)*M71,0)*AC73,"")</f>
        <v/>
      </c>
      <c r="AF73" s="591" t="str">
        <f>IFERROR(ROUNDDOWN(ROUND(L71*(R73-P73),0)*M71,0)*AC73,"")</f>
        <v/>
      </c>
      <c r="AG73" s="592">
        <f t="shared" si="53"/>
        <v>0</v>
      </c>
      <c r="AH73" s="471"/>
      <c r="AI73" s="472"/>
      <c r="AJ73" s="473"/>
      <c r="AK73" s="474"/>
      <c r="AL73" s="475"/>
      <c r="AM73" s="476"/>
      <c r="AN73" s="593"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314">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183</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4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73">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IF(AG76&lt;&gt;"",IF(AH76="○","入力済","未入力"),"")</f>
        <v>未入力</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315"/>
      <c r="B75" s="1226"/>
      <c r="C75" s="1226"/>
      <c r="D75" s="1226"/>
      <c r="E75" s="1226"/>
      <c r="F75" s="1226"/>
      <c r="G75" s="1229"/>
      <c r="H75" s="1229"/>
      <c r="I75" s="1229"/>
      <c r="J75" s="1229"/>
      <c r="K75" s="1229"/>
      <c r="L75" s="1232"/>
      <c r="M75" s="1235"/>
      <c r="N75" s="573" t="s">
        <v>170</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4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316"/>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42"/>
        <v>2</v>
      </c>
      <c r="AD76" s="587" t="s">
        <v>38</v>
      </c>
      <c r="AE76" s="602" t="str">
        <f>IFERROR(ROUNDDOWN(ROUND(L74*R76,0)*M74,0)*AC76,"")</f>
        <v/>
      </c>
      <c r="AF76" s="591" t="str">
        <f>IFERROR(ROUNDDOWN(ROUND(L74*(R76-P76),0)*M74,0)*AC76,"")</f>
        <v/>
      </c>
      <c r="AG76" s="592">
        <f t="shared" si="53"/>
        <v>0</v>
      </c>
      <c r="AH76" s="471"/>
      <c r="AI76" s="472"/>
      <c r="AJ76" s="473"/>
      <c r="AK76" s="474"/>
      <c r="AL76" s="475"/>
      <c r="AM76" s="476"/>
      <c r="AN76" s="593"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314">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183</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4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7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IF(AG79&lt;&gt;"",IF(AH79="○","入力済","未入力"),"")</f>
        <v>未入力</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315"/>
      <c r="B78" s="1226"/>
      <c r="C78" s="1226"/>
      <c r="D78" s="1226"/>
      <c r="E78" s="1226"/>
      <c r="F78" s="1226"/>
      <c r="G78" s="1229"/>
      <c r="H78" s="1229"/>
      <c r="I78" s="1229"/>
      <c r="J78" s="1229"/>
      <c r="K78" s="1229"/>
      <c r="L78" s="1232"/>
      <c r="M78" s="1235"/>
      <c r="N78" s="573" t="s">
        <v>170</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4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316"/>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42"/>
        <v>2</v>
      </c>
      <c r="AD79" s="587" t="s">
        <v>38</v>
      </c>
      <c r="AE79" s="602" t="str">
        <f>IFERROR(ROUNDDOWN(ROUND(L77*R79,0)*M77,0)*AC79,"")</f>
        <v/>
      </c>
      <c r="AF79" s="591" t="str">
        <f>IFERROR(ROUNDDOWN(ROUND(L77*(R79-P79),0)*M77,0)*AC79,"")</f>
        <v/>
      </c>
      <c r="AG79" s="592">
        <f t="shared" si="53"/>
        <v>0</v>
      </c>
      <c r="AH79" s="471"/>
      <c r="AI79" s="472"/>
      <c r="AJ79" s="473"/>
      <c r="AK79" s="474"/>
      <c r="AL79" s="475"/>
      <c r="AM79" s="476"/>
      <c r="AN79" s="593"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314">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183</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4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79">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IF(AG82&lt;&gt;"",IF(AH82="○","入力済","未入力"),"")</f>
        <v>未入力</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315"/>
      <c r="B81" s="1226"/>
      <c r="C81" s="1226"/>
      <c r="D81" s="1226"/>
      <c r="E81" s="1226"/>
      <c r="F81" s="1226"/>
      <c r="G81" s="1229"/>
      <c r="H81" s="1229"/>
      <c r="I81" s="1229"/>
      <c r="J81" s="1229"/>
      <c r="K81" s="1229"/>
      <c r="L81" s="1232"/>
      <c r="M81" s="1235"/>
      <c r="N81" s="573" t="s">
        <v>170</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4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316"/>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42"/>
        <v>2</v>
      </c>
      <c r="AD82" s="587" t="s">
        <v>38</v>
      </c>
      <c r="AE82" s="602" t="str">
        <f>IFERROR(ROUNDDOWN(ROUND(L80*R82,0)*M80,0)*AC82,"")</f>
        <v/>
      </c>
      <c r="AF82" s="591" t="str">
        <f>IFERROR(ROUNDDOWN(ROUND(L80*(R82-P82),0)*M80,0)*AC82,"")</f>
        <v/>
      </c>
      <c r="AG82" s="592">
        <f t="shared" si="53"/>
        <v>0</v>
      </c>
      <c r="AH82" s="471"/>
      <c r="AI82" s="472"/>
      <c r="AJ82" s="473"/>
      <c r="AK82" s="474"/>
      <c r="AL82" s="475"/>
      <c r="AM82" s="476"/>
      <c r="AN82" s="593"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314">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183</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4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82">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IF(AG85&lt;&gt;"",IF(AH85="○","入力済","未入力"),"")</f>
        <v>未入力</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315"/>
      <c r="B84" s="1226"/>
      <c r="C84" s="1226"/>
      <c r="D84" s="1226"/>
      <c r="E84" s="1226"/>
      <c r="F84" s="1226"/>
      <c r="G84" s="1229"/>
      <c r="H84" s="1229"/>
      <c r="I84" s="1229"/>
      <c r="J84" s="1229"/>
      <c r="K84" s="1229"/>
      <c r="L84" s="1232"/>
      <c r="M84" s="1235"/>
      <c r="N84" s="573" t="s">
        <v>170</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4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316"/>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42"/>
        <v>2</v>
      </c>
      <c r="AD85" s="587" t="s">
        <v>38</v>
      </c>
      <c r="AE85" s="602" t="str">
        <f>IFERROR(ROUNDDOWN(ROUND(L83*R85,0)*M83,0)*AC85,"")</f>
        <v/>
      </c>
      <c r="AF85" s="591" t="str">
        <f>IFERROR(ROUNDDOWN(ROUND(L83*(R85-P85),0)*M83,0)*AC85,"")</f>
        <v/>
      </c>
      <c r="AG85" s="592">
        <f t="shared" si="53"/>
        <v>0</v>
      </c>
      <c r="AH85" s="471"/>
      <c r="AI85" s="472"/>
      <c r="AJ85" s="473"/>
      <c r="AK85" s="474"/>
      <c r="AL85" s="475"/>
      <c r="AM85" s="476"/>
      <c r="AN85" s="593"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314">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183</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4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85">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IF(AG88&lt;&gt;"",IF(AH88="○","入力済","未入力"),"")</f>
        <v>未入力</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315"/>
      <c r="B87" s="1226"/>
      <c r="C87" s="1226"/>
      <c r="D87" s="1226"/>
      <c r="E87" s="1226"/>
      <c r="F87" s="1226"/>
      <c r="G87" s="1229"/>
      <c r="H87" s="1229"/>
      <c r="I87" s="1229"/>
      <c r="J87" s="1229"/>
      <c r="K87" s="1229"/>
      <c r="L87" s="1232"/>
      <c r="M87" s="1235"/>
      <c r="N87" s="573" t="s">
        <v>170</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4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316"/>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42"/>
        <v>2</v>
      </c>
      <c r="AD88" s="587" t="s">
        <v>38</v>
      </c>
      <c r="AE88" s="602" t="str">
        <f>IFERROR(ROUNDDOWN(ROUND(L86*R88,0)*M86,0)*AC88,"")</f>
        <v/>
      </c>
      <c r="AF88" s="591" t="str">
        <f>IFERROR(ROUNDDOWN(ROUND(L86*(R88-P88),0)*M86,0)*AC88,"")</f>
        <v/>
      </c>
      <c r="AG88" s="592">
        <f t="shared" si="53"/>
        <v>0</v>
      </c>
      <c r="AH88" s="471"/>
      <c r="AI88" s="472"/>
      <c r="AJ88" s="473"/>
      <c r="AK88" s="474"/>
      <c r="AL88" s="475"/>
      <c r="AM88" s="476"/>
      <c r="AN88" s="593"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314">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183</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4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88">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IF(AG91&lt;&gt;"",IF(AH91="○","入力済","未入力"),"")</f>
        <v>未入力</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315"/>
      <c r="B90" s="1226"/>
      <c r="C90" s="1226"/>
      <c r="D90" s="1226"/>
      <c r="E90" s="1226"/>
      <c r="F90" s="1226"/>
      <c r="G90" s="1229"/>
      <c r="H90" s="1229"/>
      <c r="I90" s="1229"/>
      <c r="J90" s="1229"/>
      <c r="K90" s="1229"/>
      <c r="L90" s="1232"/>
      <c r="M90" s="1235"/>
      <c r="N90" s="573" t="s">
        <v>170</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4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316"/>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42"/>
        <v>2</v>
      </c>
      <c r="AD91" s="587" t="s">
        <v>38</v>
      </c>
      <c r="AE91" s="602" t="str">
        <f>IFERROR(ROUNDDOWN(ROUND(L89*R91,0)*M89,0)*AC91,"")</f>
        <v/>
      </c>
      <c r="AF91" s="591" t="str">
        <f>IFERROR(ROUNDDOWN(ROUND(L89*(R91-P91),0)*M89,0)*AC91,"")</f>
        <v/>
      </c>
      <c r="AG91" s="592">
        <f t="shared" si="53"/>
        <v>0</v>
      </c>
      <c r="AH91" s="471"/>
      <c r="AI91" s="472"/>
      <c r="AJ91" s="473"/>
      <c r="AK91" s="474"/>
      <c r="AL91" s="475"/>
      <c r="AM91" s="476"/>
      <c r="AN91" s="593"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314">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183</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4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91">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IF(AG94&lt;&gt;"",IF(AH94="○","入力済","未入力"),"")</f>
        <v>未入力</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315"/>
      <c r="B93" s="1226"/>
      <c r="C93" s="1226"/>
      <c r="D93" s="1226"/>
      <c r="E93" s="1226"/>
      <c r="F93" s="1226"/>
      <c r="G93" s="1229"/>
      <c r="H93" s="1229"/>
      <c r="I93" s="1229"/>
      <c r="J93" s="1229"/>
      <c r="K93" s="1229"/>
      <c r="L93" s="1232"/>
      <c r="M93" s="1235"/>
      <c r="N93" s="573" t="s">
        <v>170</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4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316"/>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42"/>
        <v>2</v>
      </c>
      <c r="AD94" s="587" t="s">
        <v>38</v>
      </c>
      <c r="AE94" s="602" t="str">
        <f>IFERROR(ROUNDDOWN(ROUND(L92*R94,0)*M92,0)*AC94,"")</f>
        <v/>
      </c>
      <c r="AF94" s="591" t="str">
        <f>IFERROR(ROUNDDOWN(ROUND(L92*(R94-P94),0)*M92,0)*AC94,"")</f>
        <v/>
      </c>
      <c r="AG94" s="592">
        <f t="shared" si="53"/>
        <v>0</v>
      </c>
      <c r="AH94" s="471"/>
      <c r="AI94" s="472"/>
      <c r="AJ94" s="473"/>
      <c r="AK94" s="474"/>
      <c r="AL94" s="475"/>
      <c r="AM94" s="476"/>
      <c r="AN94" s="593"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314">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183</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94">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95">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IF(AG97&lt;&gt;"",IF(AH97="○","入力済","未入力"),"")</f>
        <v>未入力</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315"/>
      <c r="B96" s="1226"/>
      <c r="C96" s="1226"/>
      <c r="D96" s="1226"/>
      <c r="E96" s="1226"/>
      <c r="F96" s="1226"/>
      <c r="G96" s="1229"/>
      <c r="H96" s="1229"/>
      <c r="I96" s="1229"/>
      <c r="J96" s="1229"/>
      <c r="K96" s="1229"/>
      <c r="L96" s="1232"/>
      <c r="M96" s="1235"/>
      <c r="N96" s="573" t="s">
        <v>170</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94"/>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316"/>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94"/>
        <v>2</v>
      </c>
      <c r="AD97" s="587" t="s">
        <v>38</v>
      </c>
      <c r="AE97" s="602" t="str">
        <f>IFERROR(ROUNDDOWN(ROUND(L95*R97,0)*M95,0)*AC97,"")</f>
        <v/>
      </c>
      <c r="AF97" s="591" t="str">
        <f>IFERROR(ROUNDDOWN(ROUND(L95*(R97-P97),0)*M95,0)*AC97,"")</f>
        <v/>
      </c>
      <c r="AG97" s="592">
        <f t="shared" si="53"/>
        <v>0</v>
      </c>
      <c r="AH97" s="471"/>
      <c r="AI97" s="472"/>
      <c r="AJ97" s="473"/>
      <c r="AK97" s="474"/>
      <c r="AL97" s="475"/>
      <c r="AM97" s="476"/>
      <c r="AN97" s="593"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314">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183</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94"/>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98">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IF(AG100&lt;&gt;"",IF(AH100="○","入力済","未入力"),"")</f>
        <v>未入力</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315"/>
      <c r="B99" s="1226"/>
      <c r="C99" s="1226"/>
      <c r="D99" s="1226"/>
      <c r="E99" s="1226"/>
      <c r="F99" s="1226"/>
      <c r="G99" s="1229"/>
      <c r="H99" s="1229"/>
      <c r="I99" s="1229"/>
      <c r="J99" s="1229"/>
      <c r="K99" s="1229"/>
      <c r="L99" s="1232"/>
      <c r="M99" s="1235"/>
      <c r="N99" s="573" t="s">
        <v>170</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94"/>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316"/>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94"/>
        <v>2</v>
      </c>
      <c r="AD100" s="587" t="s">
        <v>38</v>
      </c>
      <c r="AE100" s="602" t="str">
        <f>IFERROR(ROUNDDOWN(ROUND(L98*R100,0)*M98,0)*AC100,"")</f>
        <v/>
      </c>
      <c r="AF100" s="591" t="str">
        <f>IFERROR(ROUNDDOWN(ROUND(L98*(R100-P100),0)*M98,0)*AC100,"")</f>
        <v/>
      </c>
      <c r="AG100" s="592">
        <f t="shared" si="53"/>
        <v>0</v>
      </c>
      <c r="AH100" s="471"/>
      <c r="AI100" s="472"/>
      <c r="AJ100" s="473"/>
      <c r="AK100" s="474"/>
      <c r="AL100" s="475"/>
      <c r="AM100" s="476"/>
      <c r="AN100" s="593"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314">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183</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94"/>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01">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IF(AG103&lt;&gt;"",IF(AH103="○","入力済","未入力"),"")</f>
        <v>未入力</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315"/>
      <c r="B102" s="1226"/>
      <c r="C102" s="1226"/>
      <c r="D102" s="1226"/>
      <c r="E102" s="1226"/>
      <c r="F102" s="1226"/>
      <c r="G102" s="1229"/>
      <c r="H102" s="1229"/>
      <c r="I102" s="1229"/>
      <c r="J102" s="1229"/>
      <c r="K102" s="1229"/>
      <c r="L102" s="1232"/>
      <c r="M102" s="1235"/>
      <c r="N102" s="573" t="s">
        <v>170</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94"/>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316"/>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94"/>
        <v>2</v>
      </c>
      <c r="AD103" s="587" t="s">
        <v>38</v>
      </c>
      <c r="AE103" s="602" t="str">
        <f>IFERROR(ROUNDDOWN(ROUND(L101*R103,0)*M101,0)*AC103,"")</f>
        <v/>
      </c>
      <c r="AF103" s="591" t="str">
        <f>IFERROR(ROUNDDOWN(ROUND(L101*(R103-P103),0)*M101,0)*AC103,"")</f>
        <v/>
      </c>
      <c r="AG103" s="592">
        <f t="shared" si="53"/>
        <v>0</v>
      </c>
      <c r="AH103" s="471"/>
      <c r="AI103" s="472"/>
      <c r="AJ103" s="473"/>
      <c r="AK103" s="474"/>
      <c r="AL103" s="475"/>
      <c r="AM103" s="476"/>
      <c r="AN103" s="593"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314">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183</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94"/>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04">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IF(AG106&lt;&gt;"",IF(AH106="○","入力済","未入力"),"")</f>
        <v>未入力</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315"/>
      <c r="B105" s="1226"/>
      <c r="C105" s="1226"/>
      <c r="D105" s="1226"/>
      <c r="E105" s="1226"/>
      <c r="F105" s="1226"/>
      <c r="G105" s="1229"/>
      <c r="H105" s="1229"/>
      <c r="I105" s="1229"/>
      <c r="J105" s="1229"/>
      <c r="K105" s="1229"/>
      <c r="L105" s="1232"/>
      <c r="M105" s="1235"/>
      <c r="N105" s="573" t="s">
        <v>170</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94"/>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316"/>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94"/>
        <v>2</v>
      </c>
      <c r="AD106" s="587" t="s">
        <v>38</v>
      </c>
      <c r="AE106" s="602" t="str">
        <f>IFERROR(ROUNDDOWN(ROUND(L104*R106,0)*M104,0)*AC106,"")</f>
        <v/>
      </c>
      <c r="AF106" s="591" t="str">
        <f>IFERROR(ROUNDDOWN(ROUND(L104*(R106-P106),0)*M104,0)*AC106,"")</f>
        <v/>
      </c>
      <c r="AG106" s="592">
        <f t="shared" si="53"/>
        <v>0</v>
      </c>
      <c r="AH106" s="471"/>
      <c r="AI106" s="472"/>
      <c r="AJ106" s="473"/>
      <c r="AK106" s="474"/>
      <c r="AL106" s="475"/>
      <c r="AM106" s="476"/>
      <c r="AN106" s="593"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314">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183</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94"/>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0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IF(AG109&lt;&gt;"",IF(AH109="○","入力済","未入力"),"")</f>
        <v>未入力</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315"/>
      <c r="B108" s="1226"/>
      <c r="C108" s="1226"/>
      <c r="D108" s="1226"/>
      <c r="E108" s="1226"/>
      <c r="F108" s="1226"/>
      <c r="G108" s="1229"/>
      <c r="H108" s="1229"/>
      <c r="I108" s="1229"/>
      <c r="J108" s="1229"/>
      <c r="K108" s="1229"/>
      <c r="L108" s="1232"/>
      <c r="M108" s="1235"/>
      <c r="N108" s="573" t="s">
        <v>170</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94"/>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316"/>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94"/>
        <v>2</v>
      </c>
      <c r="AD109" s="587" t="s">
        <v>38</v>
      </c>
      <c r="AE109" s="602" t="str">
        <f>IFERROR(ROUNDDOWN(ROUND(L107*R109,0)*M107,0)*AC109,"")</f>
        <v/>
      </c>
      <c r="AF109" s="591" t="str">
        <f>IFERROR(ROUNDDOWN(ROUND(L107*(R109-P109),0)*M107,0)*AC109,"")</f>
        <v/>
      </c>
      <c r="AG109" s="592">
        <f t="shared" si="53"/>
        <v>0</v>
      </c>
      <c r="AH109" s="471"/>
      <c r="AI109" s="472"/>
      <c r="AJ109" s="473"/>
      <c r="AK109" s="474"/>
      <c r="AL109" s="475"/>
      <c r="AM109" s="476"/>
      <c r="AN109" s="593"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314">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183</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94"/>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10">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IF(AG112&lt;&gt;"",IF(AH112="○","入力済","未入力"),"")</f>
        <v>未入力</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315"/>
      <c r="B111" s="1226"/>
      <c r="C111" s="1226"/>
      <c r="D111" s="1226"/>
      <c r="E111" s="1226"/>
      <c r="F111" s="1226"/>
      <c r="G111" s="1229"/>
      <c r="H111" s="1229"/>
      <c r="I111" s="1229"/>
      <c r="J111" s="1229"/>
      <c r="K111" s="1229"/>
      <c r="L111" s="1232"/>
      <c r="M111" s="1235"/>
      <c r="N111" s="573" t="s">
        <v>170</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94"/>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316"/>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94"/>
        <v>2</v>
      </c>
      <c r="AD112" s="587" t="s">
        <v>38</v>
      </c>
      <c r="AE112" s="602" t="str">
        <f>IFERROR(ROUNDDOWN(ROUND(L110*R112,0)*M110,0)*AC112,"")</f>
        <v/>
      </c>
      <c r="AF112" s="591" t="str">
        <f>IFERROR(ROUNDDOWN(ROUND(L110*(R112-P112),0)*M110,0)*AC112,"")</f>
        <v/>
      </c>
      <c r="AG112" s="592">
        <f t="shared" si="53"/>
        <v>0</v>
      </c>
      <c r="AH112" s="471"/>
      <c r="AI112" s="472"/>
      <c r="AJ112" s="473"/>
      <c r="AK112" s="474"/>
      <c r="AL112" s="475"/>
      <c r="AM112" s="476"/>
      <c r="AN112" s="593"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314">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183</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94"/>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13">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IF(AG115&lt;&gt;"",IF(AH115="○","入力済","未入力"),"")</f>
        <v>未入力</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315"/>
      <c r="B114" s="1226"/>
      <c r="C114" s="1226"/>
      <c r="D114" s="1226"/>
      <c r="E114" s="1226"/>
      <c r="F114" s="1226"/>
      <c r="G114" s="1229"/>
      <c r="H114" s="1229"/>
      <c r="I114" s="1229"/>
      <c r="J114" s="1229"/>
      <c r="K114" s="1229"/>
      <c r="L114" s="1232"/>
      <c r="M114" s="1235"/>
      <c r="N114" s="573" t="s">
        <v>170</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94"/>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316"/>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94"/>
        <v>2</v>
      </c>
      <c r="AD115" s="587" t="s">
        <v>38</v>
      </c>
      <c r="AE115" s="602" t="str">
        <f>IFERROR(ROUNDDOWN(ROUND(L113*R115,0)*M113,0)*AC115,"")</f>
        <v/>
      </c>
      <c r="AF115" s="591" t="str">
        <f>IFERROR(ROUNDDOWN(ROUND(L113*(R115-P115),0)*M113,0)*AC115,"")</f>
        <v/>
      </c>
      <c r="AG115" s="592">
        <f t="shared" si="53"/>
        <v>0</v>
      </c>
      <c r="AH115" s="471"/>
      <c r="AI115" s="472"/>
      <c r="AJ115" s="473"/>
      <c r="AK115" s="474"/>
      <c r="AL115" s="475"/>
      <c r="AM115" s="476"/>
      <c r="AN115" s="593"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314">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183</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94"/>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16">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IF(AG118&lt;&gt;"",IF(AH118="○","入力済","未入力"),"")</f>
        <v>未入力</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315"/>
      <c r="B117" s="1226"/>
      <c r="C117" s="1226"/>
      <c r="D117" s="1226"/>
      <c r="E117" s="1226"/>
      <c r="F117" s="1226"/>
      <c r="G117" s="1229"/>
      <c r="H117" s="1229"/>
      <c r="I117" s="1229"/>
      <c r="J117" s="1229"/>
      <c r="K117" s="1229"/>
      <c r="L117" s="1232"/>
      <c r="M117" s="1235"/>
      <c r="N117" s="573" t="s">
        <v>170</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94"/>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316"/>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94"/>
        <v>2</v>
      </c>
      <c r="AD118" s="587" t="s">
        <v>38</v>
      </c>
      <c r="AE118" s="602" t="str">
        <f>IFERROR(ROUNDDOWN(ROUND(L116*R118,0)*M116,0)*AC118,"")</f>
        <v/>
      </c>
      <c r="AF118" s="591" t="str">
        <f>IFERROR(ROUNDDOWN(ROUND(L116*(R118-P118),0)*M116,0)*AC118,"")</f>
        <v/>
      </c>
      <c r="AG118" s="592">
        <f t="shared" si="53"/>
        <v>0</v>
      </c>
      <c r="AH118" s="471"/>
      <c r="AI118" s="472"/>
      <c r="AJ118" s="473"/>
      <c r="AK118" s="474"/>
      <c r="AL118" s="475"/>
      <c r="AM118" s="476"/>
      <c r="AN118" s="593"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314">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183</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94"/>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19">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IF(AG121&lt;&gt;"",IF(AH121="○","入力済","未入力"),"")</f>
        <v>未入力</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315"/>
      <c r="B120" s="1226"/>
      <c r="C120" s="1226"/>
      <c r="D120" s="1226"/>
      <c r="E120" s="1226"/>
      <c r="F120" s="1226"/>
      <c r="G120" s="1229"/>
      <c r="H120" s="1229"/>
      <c r="I120" s="1229"/>
      <c r="J120" s="1229"/>
      <c r="K120" s="1229"/>
      <c r="L120" s="1232"/>
      <c r="M120" s="1235"/>
      <c r="N120" s="573" t="s">
        <v>170</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94"/>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316"/>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94"/>
        <v>2</v>
      </c>
      <c r="AD121" s="587" t="s">
        <v>38</v>
      </c>
      <c r="AE121" s="602" t="str">
        <f>IFERROR(ROUNDDOWN(ROUND(L119*R121,0)*M119,0)*AC121,"")</f>
        <v/>
      </c>
      <c r="AF121" s="591" t="str">
        <f>IFERROR(ROUNDDOWN(ROUND(L119*(R121-P121),0)*M119,0)*AC121,"")</f>
        <v/>
      </c>
      <c r="AG121" s="592">
        <f t="shared" ref="AG121:AG184" si="121">IF(AND(O121="ベア加算なし",Q121="ベア加算"),AE121,0)</f>
        <v>0</v>
      </c>
      <c r="AH121" s="471"/>
      <c r="AI121" s="472"/>
      <c r="AJ121" s="473"/>
      <c r="AK121" s="474"/>
      <c r="AL121" s="475"/>
      <c r="AM121" s="476"/>
      <c r="AN121" s="593"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314">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183</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94"/>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23">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IF(AG124&lt;&gt;"",IF(AH124="○","入力済","未入力"),"")</f>
        <v>未入力</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315"/>
      <c r="B123" s="1226"/>
      <c r="C123" s="1226"/>
      <c r="D123" s="1226"/>
      <c r="E123" s="1226"/>
      <c r="F123" s="1226"/>
      <c r="G123" s="1229"/>
      <c r="H123" s="1229"/>
      <c r="I123" s="1229"/>
      <c r="J123" s="1229"/>
      <c r="K123" s="1229"/>
      <c r="L123" s="1232"/>
      <c r="M123" s="1235"/>
      <c r="N123" s="573" t="s">
        <v>170</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94"/>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316"/>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94"/>
        <v>2</v>
      </c>
      <c r="AD124" s="587" t="s">
        <v>38</v>
      </c>
      <c r="AE124" s="602" t="str">
        <f>IFERROR(ROUNDDOWN(ROUND(L122*R124,0)*M122,0)*AC124,"")</f>
        <v/>
      </c>
      <c r="AF124" s="591" t="str">
        <f>IFERROR(ROUNDDOWN(ROUND(L122*(R124-P124),0)*M122,0)*AC124,"")</f>
        <v/>
      </c>
      <c r="AG124" s="592">
        <f t="shared" si="121"/>
        <v>0</v>
      </c>
      <c r="AH124" s="471"/>
      <c r="AI124" s="472"/>
      <c r="AJ124" s="473"/>
      <c r="AK124" s="474"/>
      <c r="AL124" s="475"/>
      <c r="AM124" s="476"/>
      <c r="AN124" s="593"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314">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183</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94"/>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26">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IF(AG127&lt;&gt;"",IF(AH127="○","入力済","未入力"),"")</f>
        <v>未入力</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315"/>
      <c r="B126" s="1226"/>
      <c r="C126" s="1226"/>
      <c r="D126" s="1226"/>
      <c r="E126" s="1226"/>
      <c r="F126" s="1226"/>
      <c r="G126" s="1229"/>
      <c r="H126" s="1229"/>
      <c r="I126" s="1229"/>
      <c r="J126" s="1229"/>
      <c r="K126" s="1229"/>
      <c r="L126" s="1232"/>
      <c r="M126" s="1235"/>
      <c r="N126" s="573" t="s">
        <v>170</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94"/>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316"/>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94"/>
        <v>2</v>
      </c>
      <c r="AD127" s="587" t="s">
        <v>38</v>
      </c>
      <c r="AE127" s="602" t="str">
        <f>IFERROR(ROUNDDOWN(ROUND(L125*R127,0)*M125,0)*AC127,"")</f>
        <v/>
      </c>
      <c r="AF127" s="591" t="str">
        <f>IFERROR(ROUNDDOWN(ROUND(L125*(R127-P127),0)*M125,0)*AC127,"")</f>
        <v/>
      </c>
      <c r="AG127" s="592">
        <f t="shared" si="121"/>
        <v>0</v>
      </c>
      <c r="AH127" s="471"/>
      <c r="AI127" s="472"/>
      <c r="AJ127" s="473"/>
      <c r="AK127" s="474"/>
      <c r="AL127" s="475"/>
      <c r="AM127" s="476"/>
      <c r="AN127" s="593"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314">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183</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94"/>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29">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IF(AG130&lt;&gt;"",IF(AH130="○","入力済","未入力"),"")</f>
        <v>未入力</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315"/>
      <c r="B129" s="1226"/>
      <c r="C129" s="1226"/>
      <c r="D129" s="1226"/>
      <c r="E129" s="1226"/>
      <c r="F129" s="1226"/>
      <c r="G129" s="1229"/>
      <c r="H129" s="1229"/>
      <c r="I129" s="1229"/>
      <c r="J129" s="1229"/>
      <c r="K129" s="1229"/>
      <c r="L129" s="1232"/>
      <c r="M129" s="1235"/>
      <c r="N129" s="573" t="s">
        <v>170</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94"/>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316"/>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94"/>
        <v>2</v>
      </c>
      <c r="AD130" s="587" t="s">
        <v>38</v>
      </c>
      <c r="AE130" s="602" t="str">
        <f>IFERROR(ROUNDDOWN(ROUND(L128*R130,0)*M128,0)*AC130,"")</f>
        <v/>
      </c>
      <c r="AF130" s="591" t="str">
        <f>IFERROR(ROUNDDOWN(ROUND(L128*(R130-P130),0)*M128,0)*AC130,"")</f>
        <v/>
      </c>
      <c r="AG130" s="592">
        <f t="shared" si="121"/>
        <v>0</v>
      </c>
      <c r="AH130" s="471"/>
      <c r="AI130" s="472"/>
      <c r="AJ130" s="473"/>
      <c r="AK130" s="474"/>
      <c r="AL130" s="475"/>
      <c r="AM130" s="476"/>
      <c r="AN130" s="593"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314">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183</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94"/>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32">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IF(AG133&lt;&gt;"",IF(AH133="○","入力済","未入力"),"")</f>
        <v>未入力</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315"/>
      <c r="B132" s="1226"/>
      <c r="C132" s="1226"/>
      <c r="D132" s="1226"/>
      <c r="E132" s="1226"/>
      <c r="F132" s="1226"/>
      <c r="G132" s="1229"/>
      <c r="H132" s="1229"/>
      <c r="I132" s="1229"/>
      <c r="J132" s="1229"/>
      <c r="K132" s="1229"/>
      <c r="L132" s="1232"/>
      <c r="M132" s="1235"/>
      <c r="N132" s="573" t="s">
        <v>170</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94"/>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316"/>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94"/>
        <v>2</v>
      </c>
      <c r="AD133" s="587" t="s">
        <v>38</v>
      </c>
      <c r="AE133" s="602" t="str">
        <f>IFERROR(ROUNDDOWN(ROUND(L131*R133,0)*M131,0)*AC133,"")</f>
        <v/>
      </c>
      <c r="AF133" s="591" t="str">
        <f>IFERROR(ROUNDDOWN(ROUND(L131*(R133-P133),0)*M131,0)*AC133,"")</f>
        <v/>
      </c>
      <c r="AG133" s="592">
        <f t="shared" si="121"/>
        <v>0</v>
      </c>
      <c r="AH133" s="471"/>
      <c r="AI133" s="472"/>
      <c r="AJ133" s="473"/>
      <c r="AK133" s="474"/>
      <c r="AL133" s="475"/>
      <c r="AM133" s="476"/>
      <c r="AN133" s="593"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314">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183</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94"/>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35">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IF(AG136&lt;&gt;"",IF(AH136="○","入力済","未入力"),"")</f>
        <v>未入力</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315"/>
      <c r="B135" s="1226"/>
      <c r="C135" s="1226"/>
      <c r="D135" s="1226"/>
      <c r="E135" s="1226"/>
      <c r="F135" s="1226"/>
      <c r="G135" s="1229"/>
      <c r="H135" s="1229"/>
      <c r="I135" s="1229"/>
      <c r="J135" s="1229"/>
      <c r="K135" s="1229"/>
      <c r="L135" s="1232"/>
      <c r="M135" s="1235"/>
      <c r="N135" s="573" t="s">
        <v>170</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94"/>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316"/>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94"/>
        <v>2</v>
      </c>
      <c r="AD136" s="587" t="s">
        <v>38</v>
      </c>
      <c r="AE136" s="602" t="str">
        <f>IFERROR(ROUNDDOWN(ROUND(L134*R136,0)*M134,0)*AC136,"")</f>
        <v/>
      </c>
      <c r="AF136" s="591" t="str">
        <f>IFERROR(ROUNDDOWN(ROUND(L134*(R136-P136),0)*M134,0)*AC136,"")</f>
        <v/>
      </c>
      <c r="AG136" s="592">
        <f t="shared" si="121"/>
        <v>0</v>
      </c>
      <c r="AH136" s="471"/>
      <c r="AI136" s="472"/>
      <c r="AJ136" s="473"/>
      <c r="AK136" s="474"/>
      <c r="AL136" s="475"/>
      <c r="AM136" s="476"/>
      <c r="AN136" s="593"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314">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183</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94"/>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3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IF(AG139&lt;&gt;"",IF(AH139="○","入力済","未入力"),"")</f>
        <v>未入力</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315"/>
      <c r="B138" s="1226"/>
      <c r="C138" s="1226"/>
      <c r="D138" s="1226"/>
      <c r="E138" s="1226"/>
      <c r="F138" s="1226"/>
      <c r="G138" s="1229"/>
      <c r="H138" s="1229"/>
      <c r="I138" s="1229"/>
      <c r="J138" s="1229"/>
      <c r="K138" s="1229"/>
      <c r="L138" s="1232"/>
      <c r="M138" s="1235"/>
      <c r="N138" s="573" t="s">
        <v>170</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94"/>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316"/>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94"/>
        <v>2</v>
      </c>
      <c r="AD139" s="587" t="s">
        <v>38</v>
      </c>
      <c r="AE139" s="602" t="str">
        <f>IFERROR(ROUNDDOWN(ROUND(L137*R139,0)*M137,0)*AC139,"")</f>
        <v/>
      </c>
      <c r="AF139" s="591" t="str">
        <f>IFERROR(ROUNDDOWN(ROUND(L137*(R139-P139),0)*M137,0)*AC139,"")</f>
        <v/>
      </c>
      <c r="AG139" s="592">
        <f t="shared" si="121"/>
        <v>0</v>
      </c>
      <c r="AH139" s="471"/>
      <c r="AI139" s="472"/>
      <c r="AJ139" s="473"/>
      <c r="AK139" s="474"/>
      <c r="AL139" s="475"/>
      <c r="AM139" s="476"/>
      <c r="AN139" s="593"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314">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183</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94"/>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41">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IF(AG142&lt;&gt;"",IF(AH142="○","入力済","未入力"),"")</f>
        <v>未入力</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315"/>
      <c r="B141" s="1226"/>
      <c r="C141" s="1226"/>
      <c r="D141" s="1226"/>
      <c r="E141" s="1226"/>
      <c r="F141" s="1226"/>
      <c r="G141" s="1229"/>
      <c r="H141" s="1229"/>
      <c r="I141" s="1229"/>
      <c r="J141" s="1229"/>
      <c r="K141" s="1229"/>
      <c r="L141" s="1232"/>
      <c r="M141" s="1235"/>
      <c r="N141" s="573" t="s">
        <v>170</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94"/>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316"/>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94"/>
        <v>2</v>
      </c>
      <c r="AD142" s="587" t="s">
        <v>38</v>
      </c>
      <c r="AE142" s="602" t="str">
        <f>IFERROR(ROUNDDOWN(ROUND(L140*R142,0)*M140,0)*AC142,"")</f>
        <v/>
      </c>
      <c r="AF142" s="591" t="str">
        <f>IFERROR(ROUNDDOWN(ROUND(L140*(R142-P142),0)*M140,0)*AC142,"")</f>
        <v/>
      </c>
      <c r="AG142" s="592">
        <f t="shared" si="121"/>
        <v>0</v>
      </c>
      <c r="AH142" s="471"/>
      <c r="AI142" s="472"/>
      <c r="AJ142" s="473"/>
      <c r="AK142" s="474"/>
      <c r="AL142" s="475"/>
      <c r="AM142" s="476"/>
      <c r="AN142" s="593"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314">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183</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94"/>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44">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IF(AG145&lt;&gt;"",IF(AH145="○","入力済","未入力"),"")</f>
        <v>未入力</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315"/>
      <c r="B144" s="1226"/>
      <c r="C144" s="1226"/>
      <c r="D144" s="1226"/>
      <c r="E144" s="1226"/>
      <c r="F144" s="1226"/>
      <c r="G144" s="1229"/>
      <c r="H144" s="1229"/>
      <c r="I144" s="1229"/>
      <c r="J144" s="1229"/>
      <c r="K144" s="1229"/>
      <c r="L144" s="1232"/>
      <c r="M144" s="1235"/>
      <c r="N144" s="573" t="s">
        <v>170</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94"/>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316"/>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94"/>
        <v>2</v>
      </c>
      <c r="AD145" s="587" t="s">
        <v>38</v>
      </c>
      <c r="AE145" s="602" t="str">
        <f>IFERROR(ROUNDDOWN(ROUND(L143*R145,0)*M143,0)*AC145,"")</f>
        <v/>
      </c>
      <c r="AF145" s="591" t="str">
        <f>IFERROR(ROUNDDOWN(ROUND(L143*(R145-P145),0)*M143,0)*AC145,"")</f>
        <v/>
      </c>
      <c r="AG145" s="592">
        <f t="shared" si="121"/>
        <v>0</v>
      </c>
      <c r="AH145" s="471"/>
      <c r="AI145" s="472"/>
      <c r="AJ145" s="473"/>
      <c r="AK145" s="474"/>
      <c r="AL145" s="475"/>
      <c r="AM145" s="476"/>
      <c r="AN145" s="593"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314">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183</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94"/>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47">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IF(AG148&lt;&gt;"",IF(AH148="○","入力済","未入力"),"")</f>
        <v>未入力</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315"/>
      <c r="B147" s="1226"/>
      <c r="C147" s="1226"/>
      <c r="D147" s="1226"/>
      <c r="E147" s="1226"/>
      <c r="F147" s="1226"/>
      <c r="G147" s="1229"/>
      <c r="H147" s="1229"/>
      <c r="I147" s="1229"/>
      <c r="J147" s="1229"/>
      <c r="K147" s="1229"/>
      <c r="L147" s="1232"/>
      <c r="M147" s="1235"/>
      <c r="N147" s="573" t="s">
        <v>170</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94"/>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316"/>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94"/>
        <v>2</v>
      </c>
      <c r="AD148" s="587" t="s">
        <v>38</v>
      </c>
      <c r="AE148" s="602" t="str">
        <f>IFERROR(ROUNDDOWN(ROUND(L146*R148,0)*M146,0)*AC148,"")</f>
        <v/>
      </c>
      <c r="AF148" s="591" t="str">
        <f>IFERROR(ROUNDDOWN(ROUND(L146*(R148-P148),0)*M146,0)*AC148,"")</f>
        <v/>
      </c>
      <c r="AG148" s="592">
        <f t="shared" si="121"/>
        <v>0</v>
      </c>
      <c r="AH148" s="471"/>
      <c r="AI148" s="472"/>
      <c r="AJ148" s="473"/>
      <c r="AK148" s="474"/>
      <c r="AL148" s="475"/>
      <c r="AM148" s="476"/>
      <c r="AN148" s="593"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314">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183</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94"/>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50">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IF(AG151&lt;&gt;"",IF(AH151="○","入力済","未入力"),"")</f>
        <v>未入力</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315"/>
      <c r="B150" s="1226"/>
      <c r="C150" s="1226"/>
      <c r="D150" s="1226"/>
      <c r="E150" s="1226"/>
      <c r="F150" s="1226"/>
      <c r="G150" s="1229"/>
      <c r="H150" s="1229"/>
      <c r="I150" s="1229"/>
      <c r="J150" s="1229"/>
      <c r="K150" s="1229"/>
      <c r="L150" s="1232"/>
      <c r="M150" s="1235"/>
      <c r="N150" s="573" t="s">
        <v>170</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94"/>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316"/>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94"/>
        <v>2</v>
      </c>
      <c r="AD151" s="587" t="s">
        <v>38</v>
      </c>
      <c r="AE151" s="602" t="str">
        <f>IFERROR(ROUNDDOWN(ROUND(L149*R151,0)*M149,0)*AC151,"")</f>
        <v/>
      </c>
      <c r="AF151" s="591" t="str">
        <f>IFERROR(ROUNDDOWN(ROUND(L149*(R151-P151),0)*M149,0)*AC151,"")</f>
        <v/>
      </c>
      <c r="AG151" s="592">
        <f t="shared" si="121"/>
        <v>0</v>
      </c>
      <c r="AH151" s="471"/>
      <c r="AI151" s="472"/>
      <c r="AJ151" s="473"/>
      <c r="AK151" s="474"/>
      <c r="AL151" s="475"/>
      <c r="AM151" s="476"/>
      <c r="AN151" s="593"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314">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183</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94"/>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53">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IF(AG154&lt;&gt;"",IF(AH154="○","入力済","未入力"),"")</f>
        <v>未入力</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315"/>
      <c r="B153" s="1226"/>
      <c r="C153" s="1226"/>
      <c r="D153" s="1226"/>
      <c r="E153" s="1226"/>
      <c r="F153" s="1226"/>
      <c r="G153" s="1229"/>
      <c r="H153" s="1229"/>
      <c r="I153" s="1229"/>
      <c r="J153" s="1229"/>
      <c r="K153" s="1229"/>
      <c r="L153" s="1232"/>
      <c r="M153" s="1235"/>
      <c r="N153" s="573" t="s">
        <v>170</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94"/>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316"/>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94"/>
        <v>2</v>
      </c>
      <c r="AD154" s="587" t="s">
        <v>38</v>
      </c>
      <c r="AE154" s="602" t="str">
        <f>IFERROR(ROUNDDOWN(ROUND(L152*R154,0)*M152,0)*AC154,"")</f>
        <v/>
      </c>
      <c r="AF154" s="591" t="str">
        <f>IFERROR(ROUNDDOWN(ROUND(L152*(R154-P154),0)*M152,0)*AC154,"")</f>
        <v/>
      </c>
      <c r="AG154" s="592">
        <f t="shared" si="121"/>
        <v>0</v>
      </c>
      <c r="AH154" s="471"/>
      <c r="AI154" s="472"/>
      <c r="AJ154" s="473"/>
      <c r="AK154" s="474"/>
      <c r="AL154" s="475"/>
      <c r="AM154" s="476"/>
      <c r="AN154" s="593"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314">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183</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94"/>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156">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IF(AG157&lt;&gt;"",IF(AH157="○","入力済","未入力"),"")</f>
        <v>未入力</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315"/>
      <c r="B156" s="1226"/>
      <c r="C156" s="1226"/>
      <c r="D156" s="1226"/>
      <c r="E156" s="1226"/>
      <c r="F156" s="1226"/>
      <c r="G156" s="1229"/>
      <c r="H156" s="1229"/>
      <c r="I156" s="1229"/>
      <c r="J156" s="1229"/>
      <c r="K156" s="1229"/>
      <c r="L156" s="1232"/>
      <c r="M156" s="1235"/>
      <c r="N156" s="573" t="s">
        <v>170</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94"/>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316"/>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94"/>
        <v>2</v>
      </c>
      <c r="AD157" s="587" t="s">
        <v>38</v>
      </c>
      <c r="AE157" s="602" t="str">
        <f>IFERROR(ROUNDDOWN(ROUND(L155*R157,0)*M155,0)*AC157,"")</f>
        <v/>
      </c>
      <c r="AF157" s="591" t="str">
        <f>IFERROR(ROUNDDOWN(ROUND(L155*(R157-P157),0)*M155,0)*AC157,"")</f>
        <v/>
      </c>
      <c r="AG157" s="592">
        <f t="shared" si="121"/>
        <v>0</v>
      </c>
      <c r="AH157" s="471"/>
      <c r="AI157" s="472"/>
      <c r="AJ157" s="473"/>
      <c r="AK157" s="474"/>
      <c r="AL157" s="475"/>
      <c r="AM157" s="476"/>
      <c r="AN157" s="593"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314">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183</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94"/>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159">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IF(AG160&lt;&gt;"",IF(AH160="○","入力済","未入力"),"")</f>
        <v>未入力</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315"/>
      <c r="B159" s="1226"/>
      <c r="C159" s="1226"/>
      <c r="D159" s="1226"/>
      <c r="E159" s="1226"/>
      <c r="F159" s="1226"/>
      <c r="G159" s="1229"/>
      <c r="H159" s="1229"/>
      <c r="I159" s="1229"/>
      <c r="J159" s="1229"/>
      <c r="K159" s="1229"/>
      <c r="L159" s="1232"/>
      <c r="M159" s="1235"/>
      <c r="N159" s="573" t="s">
        <v>170</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160">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316"/>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160"/>
        <v>2</v>
      </c>
      <c r="AD160" s="587" t="s">
        <v>38</v>
      </c>
      <c r="AE160" s="602" t="str">
        <f>IFERROR(ROUNDDOWN(ROUND(L158*R160,0)*M158,0)*AC160,"")</f>
        <v/>
      </c>
      <c r="AF160" s="591" t="str">
        <f>IFERROR(ROUNDDOWN(ROUND(L158*(R160-P160),0)*M158,0)*AC160,"")</f>
        <v/>
      </c>
      <c r="AG160" s="592">
        <f t="shared" si="121"/>
        <v>0</v>
      </c>
      <c r="AH160" s="471"/>
      <c r="AI160" s="472"/>
      <c r="AJ160" s="473"/>
      <c r="AK160" s="474"/>
      <c r="AL160" s="475"/>
      <c r="AM160" s="476"/>
      <c r="AN160" s="593"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314">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183</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160"/>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163">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IF(AG163&lt;&gt;"",IF(AH163="○","入力済","未入力"),"")</f>
        <v>未入力</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315"/>
      <c r="B162" s="1226"/>
      <c r="C162" s="1226"/>
      <c r="D162" s="1226"/>
      <c r="E162" s="1226"/>
      <c r="F162" s="1226"/>
      <c r="G162" s="1229"/>
      <c r="H162" s="1229"/>
      <c r="I162" s="1229"/>
      <c r="J162" s="1229"/>
      <c r="K162" s="1229"/>
      <c r="L162" s="1232"/>
      <c r="M162" s="1235"/>
      <c r="N162" s="573" t="s">
        <v>170</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160"/>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316"/>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160"/>
        <v>2</v>
      </c>
      <c r="AD163" s="587" t="s">
        <v>38</v>
      </c>
      <c r="AE163" s="602" t="str">
        <f>IFERROR(ROUNDDOWN(ROUND(L161*R163,0)*M161,0)*AC163,"")</f>
        <v/>
      </c>
      <c r="AF163" s="591" t="str">
        <f>IFERROR(ROUNDDOWN(ROUND(L161*(R163-P163),0)*M161,0)*AC163,"")</f>
        <v/>
      </c>
      <c r="AG163" s="592">
        <f t="shared" si="121"/>
        <v>0</v>
      </c>
      <c r="AH163" s="471"/>
      <c r="AI163" s="472"/>
      <c r="AJ163" s="473"/>
      <c r="AK163" s="474"/>
      <c r="AL163" s="475"/>
      <c r="AM163" s="476"/>
      <c r="AN163" s="593"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314">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183</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160"/>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166">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IF(AG166&lt;&gt;"",IF(AH166="○","入力済","未入力"),"")</f>
        <v>未入力</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315"/>
      <c r="B165" s="1226"/>
      <c r="C165" s="1226"/>
      <c r="D165" s="1226"/>
      <c r="E165" s="1226"/>
      <c r="F165" s="1226"/>
      <c r="G165" s="1229"/>
      <c r="H165" s="1229"/>
      <c r="I165" s="1229"/>
      <c r="J165" s="1229"/>
      <c r="K165" s="1229"/>
      <c r="L165" s="1232"/>
      <c r="M165" s="1235"/>
      <c r="N165" s="573" t="s">
        <v>170</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160"/>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316"/>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160"/>
        <v>2</v>
      </c>
      <c r="AD166" s="587" t="s">
        <v>38</v>
      </c>
      <c r="AE166" s="602" t="str">
        <f>IFERROR(ROUNDDOWN(ROUND(L164*R166,0)*M164,0)*AC166,"")</f>
        <v/>
      </c>
      <c r="AF166" s="591" t="str">
        <f>IFERROR(ROUNDDOWN(ROUND(L164*(R166-P166),0)*M164,0)*AC166,"")</f>
        <v/>
      </c>
      <c r="AG166" s="592">
        <f t="shared" si="121"/>
        <v>0</v>
      </c>
      <c r="AH166" s="471"/>
      <c r="AI166" s="472"/>
      <c r="AJ166" s="473"/>
      <c r="AK166" s="474"/>
      <c r="AL166" s="475"/>
      <c r="AM166" s="476"/>
      <c r="AN166" s="593"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314">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183</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160"/>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16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IF(AG169&lt;&gt;"",IF(AH169="○","入力済","未入力"),"")</f>
        <v>未入力</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315"/>
      <c r="B168" s="1226"/>
      <c r="C168" s="1226"/>
      <c r="D168" s="1226"/>
      <c r="E168" s="1226"/>
      <c r="F168" s="1226"/>
      <c r="G168" s="1229"/>
      <c r="H168" s="1229"/>
      <c r="I168" s="1229"/>
      <c r="J168" s="1229"/>
      <c r="K168" s="1229"/>
      <c r="L168" s="1232"/>
      <c r="M168" s="1235"/>
      <c r="N168" s="573" t="s">
        <v>170</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160"/>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316"/>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160"/>
        <v>2</v>
      </c>
      <c r="AD169" s="587" t="s">
        <v>38</v>
      </c>
      <c r="AE169" s="602" t="str">
        <f>IFERROR(ROUNDDOWN(ROUND(L167*R169,0)*M167,0)*AC169,"")</f>
        <v/>
      </c>
      <c r="AF169" s="591" t="str">
        <f>IFERROR(ROUNDDOWN(ROUND(L167*(R169-P169),0)*M167,0)*AC169,"")</f>
        <v/>
      </c>
      <c r="AG169" s="592">
        <f t="shared" si="121"/>
        <v>0</v>
      </c>
      <c r="AH169" s="471"/>
      <c r="AI169" s="472"/>
      <c r="AJ169" s="473"/>
      <c r="AK169" s="474"/>
      <c r="AL169" s="475"/>
      <c r="AM169" s="476"/>
      <c r="AN169" s="593"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314">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183</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160"/>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172">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IF(AG172&lt;&gt;"",IF(AH172="○","入力済","未入力"),"")</f>
        <v>未入力</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315"/>
      <c r="B171" s="1226"/>
      <c r="C171" s="1226"/>
      <c r="D171" s="1226"/>
      <c r="E171" s="1226"/>
      <c r="F171" s="1226"/>
      <c r="G171" s="1229"/>
      <c r="H171" s="1229"/>
      <c r="I171" s="1229"/>
      <c r="J171" s="1229"/>
      <c r="K171" s="1229"/>
      <c r="L171" s="1232"/>
      <c r="M171" s="1235"/>
      <c r="N171" s="573" t="s">
        <v>170</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160"/>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316"/>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160"/>
        <v>2</v>
      </c>
      <c r="AD172" s="587" t="s">
        <v>38</v>
      </c>
      <c r="AE172" s="602" t="str">
        <f>IFERROR(ROUNDDOWN(ROUND(L170*R172,0)*M170,0)*AC172,"")</f>
        <v/>
      </c>
      <c r="AF172" s="591" t="str">
        <f>IFERROR(ROUNDDOWN(ROUND(L170*(R172-P172),0)*M170,0)*AC172,"")</f>
        <v/>
      </c>
      <c r="AG172" s="592">
        <f t="shared" si="121"/>
        <v>0</v>
      </c>
      <c r="AH172" s="471"/>
      <c r="AI172" s="472"/>
      <c r="AJ172" s="473"/>
      <c r="AK172" s="474"/>
      <c r="AL172" s="475"/>
      <c r="AM172" s="476"/>
      <c r="AN172" s="593"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314">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183</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160"/>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175">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IF(AG175&lt;&gt;"",IF(AH175="○","入力済","未入力"),"")</f>
        <v>未入力</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315"/>
      <c r="B174" s="1226"/>
      <c r="C174" s="1226"/>
      <c r="D174" s="1226"/>
      <c r="E174" s="1226"/>
      <c r="F174" s="1226"/>
      <c r="G174" s="1229"/>
      <c r="H174" s="1229"/>
      <c r="I174" s="1229"/>
      <c r="J174" s="1229"/>
      <c r="K174" s="1229"/>
      <c r="L174" s="1232"/>
      <c r="M174" s="1235"/>
      <c r="N174" s="573" t="s">
        <v>170</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160"/>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316"/>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160"/>
        <v>2</v>
      </c>
      <c r="AD175" s="587" t="s">
        <v>38</v>
      </c>
      <c r="AE175" s="602" t="str">
        <f>IFERROR(ROUNDDOWN(ROUND(L173*R175,0)*M173,0)*AC175,"")</f>
        <v/>
      </c>
      <c r="AF175" s="591" t="str">
        <f>IFERROR(ROUNDDOWN(ROUND(L173*(R175-P175),0)*M173,0)*AC175,"")</f>
        <v/>
      </c>
      <c r="AG175" s="592">
        <f t="shared" si="121"/>
        <v>0</v>
      </c>
      <c r="AH175" s="471"/>
      <c r="AI175" s="472"/>
      <c r="AJ175" s="473"/>
      <c r="AK175" s="474"/>
      <c r="AL175" s="475"/>
      <c r="AM175" s="476"/>
      <c r="AN175" s="593"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314">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183</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160"/>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178">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IF(AG178&lt;&gt;"",IF(AH178="○","入力済","未入力"),"")</f>
        <v>未入力</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315"/>
      <c r="B177" s="1226"/>
      <c r="C177" s="1226"/>
      <c r="D177" s="1226"/>
      <c r="E177" s="1226"/>
      <c r="F177" s="1226"/>
      <c r="G177" s="1229"/>
      <c r="H177" s="1229"/>
      <c r="I177" s="1229"/>
      <c r="J177" s="1229"/>
      <c r="K177" s="1229"/>
      <c r="L177" s="1232"/>
      <c r="M177" s="1235"/>
      <c r="N177" s="573" t="s">
        <v>170</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160"/>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316"/>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160"/>
        <v>2</v>
      </c>
      <c r="AD178" s="587" t="s">
        <v>38</v>
      </c>
      <c r="AE178" s="602" t="str">
        <f>IFERROR(ROUNDDOWN(ROUND(L176*R178,0)*M176,0)*AC178,"")</f>
        <v/>
      </c>
      <c r="AF178" s="591" t="str">
        <f>IFERROR(ROUNDDOWN(ROUND(L176*(R178-P178),0)*M176,0)*AC178,"")</f>
        <v/>
      </c>
      <c r="AG178" s="592">
        <f t="shared" si="121"/>
        <v>0</v>
      </c>
      <c r="AH178" s="471"/>
      <c r="AI178" s="472"/>
      <c r="AJ178" s="473"/>
      <c r="AK178" s="474"/>
      <c r="AL178" s="475"/>
      <c r="AM178" s="476"/>
      <c r="AN178" s="593"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314">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183</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160"/>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181">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IF(AG181&lt;&gt;"",IF(AH181="○","入力済","未入力"),"")</f>
        <v>未入力</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315"/>
      <c r="B180" s="1226"/>
      <c r="C180" s="1226"/>
      <c r="D180" s="1226"/>
      <c r="E180" s="1226"/>
      <c r="F180" s="1226"/>
      <c r="G180" s="1229"/>
      <c r="H180" s="1229"/>
      <c r="I180" s="1229"/>
      <c r="J180" s="1229"/>
      <c r="K180" s="1229"/>
      <c r="L180" s="1232"/>
      <c r="M180" s="1235"/>
      <c r="N180" s="573" t="s">
        <v>170</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160"/>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316"/>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160"/>
        <v>2</v>
      </c>
      <c r="AD181" s="587" t="s">
        <v>38</v>
      </c>
      <c r="AE181" s="602" t="str">
        <f>IFERROR(ROUNDDOWN(ROUND(L179*R181,0)*M179,0)*AC181,"")</f>
        <v/>
      </c>
      <c r="AF181" s="591" t="str">
        <f>IFERROR(ROUNDDOWN(ROUND(L179*(R181-P181),0)*M179,0)*AC181,"")</f>
        <v/>
      </c>
      <c r="AG181" s="592">
        <f t="shared" si="121"/>
        <v>0</v>
      </c>
      <c r="AH181" s="471"/>
      <c r="AI181" s="472"/>
      <c r="AJ181" s="473"/>
      <c r="AK181" s="474"/>
      <c r="AL181" s="475"/>
      <c r="AM181" s="476"/>
      <c r="AN181" s="593"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314">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183</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160"/>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184">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IF(AG184&lt;&gt;"",IF(AH184="○","入力済","未入力"),"")</f>
        <v>未入力</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315"/>
      <c r="B183" s="1226"/>
      <c r="C183" s="1226"/>
      <c r="D183" s="1226"/>
      <c r="E183" s="1226"/>
      <c r="F183" s="1226"/>
      <c r="G183" s="1229"/>
      <c r="H183" s="1229"/>
      <c r="I183" s="1229"/>
      <c r="J183" s="1229"/>
      <c r="K183" s="1229"/>
      <c r="L183" s="1232"/>
      <c r="M183" s="1235"/>
      <c r="N183" s="573" t="s">
        <v>170</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160"/>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316"/>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160"/>
        <v>2</v>
      </c>
      <c r="AD184" s="587" t="s">
        <v>38</v>
      </c>
      <c r="AE184" s="602" t="str">
        <f>IFERROR(ROUNDDOWN(ROUND(L182*R184,0)*M182,0)*AC184,"")</f>
        <v/>
      </c>
      <c r="AF184" s="591" t="str">
        <f>IFERROR(ROUNDDOWN(ROUND(L182*(R184-P184),0)*M182,0)*AC184,"")</f>
        <v/>
      </c>
      <c r="AG184" s="592">
        <f t="shared" si="121"/>
        <v>0</v>
      </c>
      <c r="AH184" s="471"/>
      <c r="AI184" s="472"/>
      <c r="AJ184" s="473"/>
      <c r="AK184" s="474"/>
      <c r="AL184" s="475"/>
      <c r="AM184" s="476"/>
      <c r="AN184" s="593"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314">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183</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160"/>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187">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IF(AG187&lt;&gt;"",IF(AH187="○","入力済","未入力"),"")</f>
        <v>未入力</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315"/>
      <c r="B186" s="1226"/>
      <c r="C186" s="1226"/>
      <c r="D186" s="1226"/>
      <c r="E186" s="1226"/>
      <c r="F186" s="1226"/>
      <c r="G186" s="1229"/>
      <c r="H186" s="1229"/>
      <c r="I186" s="1229"/>
      <c r="J186" s="1229"/>
      <c r="K186" s="1229"/>
      <c r="L186" s="1232"/>
      <c r="M186" s="1235"/>
      <c r="N186" s="573" t="s">
        <v>170</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160"/>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316"/>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160"/>
        <v>2</v>
      </c>
      <c r="AD187" s="587" t="s">
        <v>38</v>
      </c>
      <c r="AE187" s="602" t="str">
        <f>IFERROR(ROUNDDOWN(ROUND(L185*R187,0)*M185,0)*AC187,"")</f>
        <v/>
      </c>
      <c r="AF187" s="591" t="str">
        <f>IFERROR(ROUNDDOWN(ROUND(L185*(R187-P187),0)*M185,0)*AC187,"")</f>
        <v/>
      </c>
      <c r="AG187" s="592">
        <f t="shared" ref="AG187:AG250" si="189">IF(AND(O187="ベア加算なし",Q187="ベア加算"),AE187,0)</f>
        <v>0</v>
      </c>
      <c r="AH187" s="471"/>
      <c r="AI187" s="472"/>
      <c r="AJ187" s="473"/>
      <c r="AK187" s="474"/>
      <c r="AL187" s="475"/>
      <c r="AM187" s="476"/>
      <c r="AN187" s="593"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314">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183</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160"/>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191">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IF(AG190&lt;&gt;"",IF(AH190="○","入力済","未入力"),"")</f>
        <v>未入力</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315"/>
      <c r="B189" s="1226"/>
      <c r="C189" s="1226"/>
      <c r="D189" s="1226"/>
      <c r="E189" s="1226"/>
      <c r="F189" s="1226"/>
      <c r="G189" s="1229"/>
      <c r="H189" s="1229"/>
      <c r="I189" s="1229"/>
      <c r="J189" s="1229"/>
      <c r="K189" s="1229"/>
      <c r="L189" s="1232"/>
      <c r="M189" s="1235"/>
      <c r="N189" s="573" t="s">
        <v>170</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160"/>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316"/>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160"/>
        <v>2</v>
      </c>
      <c r="AD190" s="587" t="s">
        <v>38</v>
      </c>
      <c r="AE190" s="602" t="str">
        <f>IFERROR(ROUNDDOWN(ROUND(L188*R190,0)*M188,0)*AC190,"")</f>
        <v/>
      </c>
      <c r="AF190" s="591" t="str">
        <f>IFERROR(ROUNDDOWN(ROUND(L188*(R190-P190),0)*M188,0)*AC190,"")</f>
        <v/>
      </c>
      <c r="AG190" s="592">
        <f t="shared" si="189"/>
        <v>0</v>
      </c>
      <c r="AH190" s="471"/>
      <c r="AI190" s="472"/>
      <c r="AJ190" s="473"/>
      <c r="AK190" s="474"/>
      <c r="AL190" s="475"/>
      <c r="AM190" s="476"/>
      <c r="AN190" s="593"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314">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183</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160"/>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194">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IF(AG193&lt;&gt;"",IF(AH193="○","入力済","未入力"),"")</f>
        <v>未入力</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315"/>
      <c r="B192" s="1226"/>
      <c r="C192" s="1226"/>
      <c r="D192" s="1226"/>
      <c r="E192" s="1226"/>
      <c r="F192" s="1226"/>
      <c r="G192" s="1229"/>
      <c r="H192" s="1229"/>
      <c r="I192" s="1229"/>
      <c r="J192" s="1229"/>
      <c r="K192" s="1229"/>
      <c r="L192" s="1232"/>
      <c r="M192" s="1235"/>
      <c r="N192" s="573" t="s">
        <v>170</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160"/>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316"/>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160"/>
        <v>2</v>
      </c>
      <c r="AD193" s="587" t="s">
        <v>38</v>
      </c>
      <c r="AE193" s="602" t="str">
        <f>IFERROR(ROUNDDOWN(ROUND(L191*R193,0)*M191,0)*AC193,"")</f>
        <v/>
      </c>
      <c r="AF193" s="591" t="str">
        <f>IFERROR(ROUNDDOWN(ROUND(L191*(R193-P193),0)*M191,0)*AC193,"")</f>
        <v/>
      </c>
      <c r="AG193" s="592">
        <f t="shared" si="189"/>
        <v>0</v>
      </c>
      <c r="AH193" s="471"/>
      <c r="AI193" s="472"/>
      <c r="AJ193" s="473"/>
      <c r="AK193" s="474"/>
      <c r="AL193" s="475"/>
      <c r="AM193" s="476"/>
      <c r="AN193" s="593"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314">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183</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160"/>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197">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IF(AG196&lt;&gt;"",IF(AH196="○","入力済","未入力"),"")</f>
        <v>未入力</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315"/>
      <c r="B195" s="1226"/>
      <c r="C195" s="1226"/>
      <c r="D195" s="1226"/>
      <c r="E195" s="1226"/>
      <c r="F195" s="1226"/>
      <c r="G195" s="1229"/>
      <c r="H195" s="1229"/>
      <c r="I195" s="1229"/>
      <c r="J195" s="1229"/>
      <c r="K195" s="1229"/>
      <c r="L195" s="1232"/>
      <c r="M195" s="1235"/>
      <c r="N195" s="573" t="s">
        <v>170</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160"/>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316"/>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160"/>
        <v>2</v>
      </c>
      <c r="AD196" s="587" t="s">
        <v>38</v>
      </c>
      <c r="AE196" s="602" t="str">
        <f>IFERROR(ROUNDDOWN(ROUND(L194*R196,0)*M194,0)*AC196,"")</f>
        <v/>
      </c>
      <c r="AF196" s="591" t="str">
        <f>IFERROR(ROUNDDOWN(ROUND(L194*(R196-P196),0)*M194,0)*AC196,"")</f>
        <v/>
      </c>
      <c r="AG196" s="592">
        <f t="shared" si="189"/>
        <v>0</v>
      </c>
      <c r="AH196" s="471"/>
      <c r="AI196" s="472"/>
      <c r="AJ196" s="473"/>
      <c r="AK196" s="474"/>
      <c r="AL196" s="475"/>
      <c r="AM196" s="476"/>
      <c r="AN196" s="593"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314">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183</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160"/>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0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IF(AG199&lt;&gt;"",IF(AH199="○","入力済","未入力"),"")</f>
        <v>未入力</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315"/>
      <c r="B198" s="1226"/>
      <c r="C198" s="1226"/>
      <c r="D198" s="1226"/>
      <c r="E198" s="1226"/>
      <c r="F198" s="1226"/>
      <c r="G198" s="1229"/>
      <c r="H198" s="1229"/>
      <c r="I198" s="1229"/>
      <c r="J198" s="1229"/>
      <c r="K198" s="1229"/>
      <c r="L198" s="1232"/>
      <c r="M198" s="1235"/>
      <c r="N198" s="573" t="s">
        <v>170</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160"/>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316"/>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160"/>
        <v>2</v>
      </c>
      <c r="AD199" s="587" t="s">
        <v>38</v>
      </c>
      <c r="AE199" s="602" t="str">
        <f>IFERROR(ROUNDDOWN(ROUND(L197*R199,0)*M197,0)*AC199,"")</f>
        <v/>
      </c>
      <c r="AF199" s="591" t="str">
        <f>IFERROR(ROUNDDOWN(ROUND(L197*(R199-P199),0)*M197,0)*AC199,"")</f>
        <v/>
      </c>
      <c r="AG199" s="592">
        <f t="shared" si="189"/>
        <v>0</v>
      </c>
      <c r="AH199" s="471"/>
      <c r="AI199" s="472"/>
      <c r="AJ199" s="473"/>
      <c r="AK199" s="474"/>
      <c r="AL199" s="475"/>
      <c r="AM199" s="476"/>
      <c r="AN199" s="593"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314">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183</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160"/>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03">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IF(AG202&lt;&gt;"",IF(AH202="○","入力済","未入力"),"")</f>
        <v>未入力</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315"/>
      <c r="B201" s="1226"/>
      <c r="C201" s="1226"/>
      <c r="D201" s="1226"/>
      <c r="E201" s="1226"/>
      <c r="F201" s="1226"/>
      <c r="G201" s="1229"/>
      <c r="H201" s="1229"/>
      <c r="I201" s="1229"/>
      <c r="J201" s="1229"/>
      <c r="K201" s="1229"/>
      <c r="L201" s="1232"/>
      <c r="M201" s="1235"/>
      <c r="N201" s="573" t="s">
        <v>170</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160"/>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316"/>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160"/>
        <v>2</v>
      </c>
      <c r="AD202" s="587" t="s">
        <v>38</v>
      </c>
      <c r="AE202" s="602" t="str">
        <f>IFERROR(ROUNDDOWN(ROUND(L200*R202,0)*M200,0)*AC202,"")</f>
        <v/>
      </c>
      <c r="AF202" s="591" t="str">
        <f>IFERROR(ROUNDDOWN(ROUND(L200*(R202-P202),0)*M200,0)*AC202,"")</f>
        <v/>
      </c>
      <c r="AG202" s="592">
        <f t="shared" si="189"/>
        <v>0</v>
      </c>
      <c r="AH202" s="471"/>
      <c r="AI202" s="472"/>
      <c r="AJ202" s="473"/>
      <c r="AK202" s="474"/>
      <c r="AL202" s="475"/>
      <c r="AM202" s="476"/>
      <c r="AN202" s="593"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314">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183</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160"/>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06">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IF(AG205&lt;&gt;"",IF(AH205="○","入力済","未入力"),"")</f>
        <v>未入力</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315"/>
      <c r="B204" s="1226"/>
      <c r="C204" s="1226"/>
      <c r="D204" s="1226"/>
      <c r="E204" s="1226"/>
      <c r="F204" s="1226"/>
      <c r="G204" s="1229"/>
      <c r="H204" s="1229"/>
      <c r="I204" s="1229"/>
      <c r="J204" s="1229"/>
      <c r="K204" s="1229"/>
      <c r="L204" s="1232"/>
      <c r="M204" s="1235"/>
      <c r="N204" s="573" t="s">
        <v>170</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160"/>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316"/>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160"/>
        <v>2</v>
      </c>
      <c r="AD205" s="587" t="s">
        <v>38</v>
      </c>
      <c r="AE205" s="602" t="str">
        <f>IFERROR(ROUNDDOWN(ROUND(L203*R205,0)*M203,0)*AC205,"")</f>
        <v/>
      </c>
      <c r="AF205" s="591" t="str">
        <f>IFERROR(ROUNDDOWN(ROUND(L203*(R205-P205),0)*M203,0)*AC205,"")</f>
        <v/>
      </c>
      <c r="AG205" s="592">
        <f t="shared" si="189"/>
        <v>0</v>
      </c>
      <c r="AH205" s="471"/>
      <c r="AI205" s="472"/>
      <c r="AJ205" s="473"/>
      <c r="AK205" s="474"/>
      <c r="AL205" s="475"/>
      <c r="AM205" s="476"/>
      <c r="AN205" s="593"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314">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183</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160"/>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09">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IF(AG208&lt;&gt;"",IF(AH208="○","入力済","未入力"),"")</f>
        <v>未入力</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315"/>
      <c r="B207" s="1226"/>
      <c r="C207" s="1226"/>
      <c r="D207" s="1226"/>
      <c r="E207" s="1226"/>
      <c r="F207" s="1226"/>
      <c r="G207" s="1229"/>
      <c r="H207" s="1229"/>
      <c r="I207" s="1229"/>
      <c r="J207" s="1229"/>
      <c r="K207" s="1229"/>
      <c r="L207" s="1232"/>
      <c r="M207" s="1235"/>
      <c r="N207" s="573" t="s">
        <v>170</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160"/>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316"/>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160"/>
        <v>2</v>
      </c>
      <c r="AD208" s="587" t="s">
        <v>38</v>
      </c>
      <c r="AE208" s="602" t="str">
        <f>IFERROR(ROUNDDOWN(ROUND(L206*R208,0)*M206,0)*AC208,"")</f>
        <v/>
      </c>
      <c r="AF208" s="591" t="str">
        <f>IFERROR(ROUNDDOWN(ROUND(L206*(R208-P208),0)*M206,0)*AC208,"")</f>
        <v/>
      </c>
      <c r="AG208" s="592">
        <f t="shared" si="189"/>
        <v>0</v>
      </c>
      <c r="AH208" s="471"/>
      <c r="AI208" s="472"/>
      <c r="AJ208" s="473"/>
      <c r="AK208" s="474"/>
      <c r="AL208" s="475"/>
      <c r="AM208" s="476"/>
      <c r="AN208" s="593"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314">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183</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160"/>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12">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IF(AG211&lt;&gt;"",IF(AH211="○","入力済","未入力"),"")</f>
        <v>未入力</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315"/>
      <c r="B210" s="1226"/>
      <c r="C210" s="1226"/>
      <c r="D210" s="1226"/>
      <c r="E210" s="1226"/>
      <c r="F210" s="1226"/>
      <c r="G210" s="1229"/>
      <c r="H210" s="1229"/>
      <c r="I210" s="1229"/>
      <c r="J210" s="1229"/>
      <c r="K210" s="1229"/>
      <c r="L210" s="1232"/>
      <c r="M210" s="1235"/>
      <c r="N210" s="573" t="s">
        <v>170</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160"/>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316"/>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160"/>
        <v>2</v>
      </c>
      <c r="AD211" s="587" t="s">
        <v>38</v>
      </c>
      <c r="AE211" s="602" t="str">
        <f>IFERROR(ROUNDDOWN(ROUND(L209*R211,0)*M209,0)*AC211,"")</f>
        <v/>
      </c>
      <c r="AF211" s="591" t="str">
        <f>IFERROR(ROUNDDOWN(ROUND(L209*(R211-P211),0)*M209,0)*AC211,"")</f>
        <v/>
      </c>
      <c r="AG211" s="592">
        <f t="shared" si="189"/>
        <v>0</v>
      </c>
      <c r="AH211" s="471"/>
      <c r="AI211" s="472"/>
      <c r="AJ211" s="473"/>
      <c r="AK211" s="474"/>
      <c r="AL211" s="475"/>
      <c r="AM211" s="476"/>
      <c r="AN211" s="593"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314">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183</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160"/>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15">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IF(AG214&lt;&gt;"",IF(AH214="○","入力済","未入力"),"")</f>
        <v>未入力</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315"/>
      <c r="B213" s="1226"/>
      <c r="C213" s="1226"/>
      <c r="D213" s="1226"/>
      <c r="E213" s="1226"/>
      <c r="F213" s="1226"/>
      <c r="G213" s="1229"/>
      <c r="H213" s="1229"/>
      <c r="I213" s="1229"/>
      <c r="J213" s="1229"/>
      <c r="K213" s="1229"/>
      <c r="L213" s="1232"/>
      <c r="M213" s="1235"/>
      <c r="N213" s="573" t="s">
        <v>170</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160"/>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316"/>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160"/>
        <v>2</v>
      </c>
      <c r="AD214" s="587" t="s">
        <v>38</v>
      </c>
      <c r="AE214" s="602" t="str">
        <f>IFERROR(ROUNDDOWN(ROUND(L212*R214,0)*M212,0)*AC214,"")</f>
        <v/>
      </c>
      <c r="AF214" s="591" t="str">
        <f>IFERROR(ROUNDDOWN(ROUND(L212*(R214-P214),0)*M212,0)*AC214,"")</f>
        <v/>
      </c>
      <c r="AG214" s="592">
        <f t="shared" si="189"/>
        <v>0</v>
      </c>
      <c r="AH214" s="471"/>
      <c r="AI214" s="472"/>
      <c r="AJ214" s="473"/>
      <c r="AK214" s="474"/>
      <c r="AL214" s="475"/>
      <c r="AM214" s="476"/>
      <c r="AN214" s="593"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314">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183</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160"/>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18">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IF(AG217&lt;&gt;"",IF(AH217="○","入力済","未入力"),"")</f>
        <v>未入力</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315"/>
      <c r="B216" s="1226"/>
      <c r="C216" s="1226"/>
      <c r="D216" s="1226"/>
      <c r="E216" s="1226"/>
      <c r="F216" s="1226"/>
      <c r="G216" s="1229"/>
      <c r="H216" s="1229"/>
      <c r="I216" s="1229"/>
      <c r="J216" s="1229"/>
      <c r="K216" s="1229"/>
      <c r="L216" s="1232"/>
      <c r="M216" s="1235"/>
      <c r="N216" s="573" t="s">
        <v>170</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160"/>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316"/>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160"/>
        <v>2</v>
      </c>
      <c r="AD217" s="587" t="s">
        <v>38</v>
      </c>
      <c r="AE217" s="602" t="str">
        <f>IFERROR(ROUNDDOWN(ROUND(L215*R217,0)*M215,0)*AC217,"")</f>
        <v/>
      </c>
      <c r="AF217" s="591" t="str">
        <f>IFERROR(ROUNDDOWN(ROUND(L215*(R217-P217),0)*M215,0)*AC217,"")</f>
        <v/>
      </c>
      <c r="AG217" s="592">
        <f t="shared" si="189"/>
        <v>0</v>
      </c>
      <c r="AH217" s="471"/>
      <c r="AI217" s="472"/>
      <c r="AJ217" s="473"/>
      <c r="AK217" s="474"/>
      <c r="AL217" s="475"/>
      <c r="AM217" s="476"/>
      <c r="AN217" s="593"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314">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183</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160"/>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21">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IF(AG220&lt;&gt;"",IF(AH220="○","入力済","未入力"),"")</f>
        <v>未入力</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315"/>
      <c r="B219" s="1226"/>
      <c r="C219" s="1226"/>
      <c r="D219" s="1226"/>
      <c r="E219" s="1226"/>
      <c r="F219" s="1226"/>
      <c r="G219" s="1229"/>
      <c r="H219" s="1229"/>
      <c r="I219" s="1229"/>
      <c r="J219" s="1229"/>
      <c r="K219" s="1229"/>
      <c r="L219" s="1232"/>
      <c r="M219" s="1235"/>
      <c r="N219" s="573" t="s">
        <v>170</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160"/>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316"/>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160"/>
        <v>2</v>
      </c>
      <c r="AD220" s="587" t="s">
        <v>38</v>
      </c>
      <c r="AE220" s="602" t="str">
        <f>IFERROR(ROUNDDOWN(ROUND(L218*R220,0)*M218,0)*AC220,"")</f>
        <v/>
      </c>
      <c r="AF220" s="591" t="str">
        <f>IFERROR(ROUNDDOWN(ROUND(L218*(R220-P220),0)*M218,0)*AC220,"")</f>
        <v/>
      </c>
      <c r="AG220" s="592">
        <f t="shared" si="189"/>
        <v>0</v>
      </c>
      <c r="AH220" s="471"/>
      <c r="AI220" s="472"/>
      <c r="AJ220" s="473"/>
      <c r="AK220" s="474"/>
      <c r="AL220" s="475"/>
      <c r="AM220" s="476"/>
      <c r="AN220" s="593"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314">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183</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160"/>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24">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IF(AG223&lt;&gt;"",IF(AH223="○","入力済","未入力"),"")</f>
        <v>未入力</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315"/>
      <c r="B222" s="1226"/>
      <c r="C222" s="1226"/>
      <c r="D222" s="1226"/>
      <c r="E222" s="1226"/>
      <c r="F222" s="1226"/>
      <c r="G222" s="1229"/>
      <c r="H222" s="1229"/>
      <c r="I222" s="1229"/>
      <c r="J222" s="1229"/>
      <c r="K222" s="1229"/>
      <c r="L222" s="1232"/>
      <c r="M222" s="1235"/>
      <c r="N222" s="573" t="s">
        <v>170</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160"/>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316"/>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26">IF(V223&gt;=1,(X223*12+Z223)-(T223*12+V223)+1,"")</f>
        <v>2</v>
      </c>
      <c r="AD223" s="587" t="s">
        <v>38</v>
      </c>
      <c r="AE223" s="602" t="str">
        <f>IFERROR(ROUNDDOWN(ROUND(L221*R223,0)*M221,0)*AC223,"")</f>
        <v/>
      </c>
      <c r="AF223" s="591" t="str">
        <f>IFERROR(ROUNDDOWN(ROUND(L221*(R223-P223),0)*M221,0)*AC223,"")</f>
        <v/>
      </c>
      <c r="AG223" s="592">
        <f t="shared" si="189"/>
        <v>0</v>
      </c>
      <c r="AH223" s="471"/>
      <c r="AI223" s="472"/>
      <c r="AJ223" s="473"/>
      <c r="AK223" s="474"/>
      <c r="AL223" s="475"/>
      <c r="AM223" s="476"/>
      <c r="AN223" s="593"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314">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183</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26"/>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28">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IF(AG226&lt;&gt;"",IF(AH226="○","入力済","未入力"),"")</f>
        <v>未入力</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315"/>
      <c r="B225" s="1226"/>
      <c r="C225" s="1226"/>
      <c r="D225" s="1226"/>
      <c r="E225" s="1226"/>
      <c r="F225" s="1226"/>
      <c r="G225" s="1229"/>
      <c r="H225" s="1229"/>
      <c r="I225" s="1229"/>
      <c r="J225" s="1229"/>
      <c r="K225" s="1229"/>
      <c r="L225" s="1232"/>
      <c r="M225" s="1235"/>
      <c r="N225" s="573" t="s">
        <v>170</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26"/>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316"/>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26"/>
        <v>2</v>
      </c>
      <c r="AD226" s="587" t="s">
        <v>38</v>
      </c>
      <c r="AE226" s="602" t="str">
        <f>IFERROR(ROUNDDOWN(ROUND(L224*R226,0)*M224,0)*AC226,"")</f>
        <v/>
      </c>
      <c r="AF226" s="591" t="str">
        <f>IFERROR(ROUNDDOWN(ROUND(L224*(R226-P226),0)*M224,0)*AC226,"")</f>
        <v/>
      </c>
      <c r="AG226" s="592">
        <f t="shared" si="189"/>
        <v>0</v>
      </c>
      <c r="AH226" s="471"/>
      <c r="AI226" s="472"/>
      <c r="AJ226" s="473"/>
      <c r="AK226" s="474"/>
      <c r="AL226" s="475"/>
      <c r="AM226" s="476"/>
      <c r="AN226" s="593"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314">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183</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26"/>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23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IF(AG229&lt;&gt;"",IF(AH229="○","入力済","未入力"),"")</f>
        <v>未入力</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315"/>
      <c r="B228" s="1226"/>
      <c r="C228" s="1226"/>
      <c r="D228" s="1226"/>
      <c r="E228" s="1226"/>
      <c r="F228" s="1226"/>
      <c r="G228" s="1229"/>
      <c r="H228" s="1229"/>
      <c r="I228" s="1229"/>
      <c r="J228" s="1229"/>
      <c r="K228" s="1229"/>
      <c r="L228" s="1232"/>
      <c r="M228" s="1235"/>
      <c r="N228" s="573" t="s">
        <v>170</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26"/>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316"/>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26"/>
        <v>2</v>
      </c>
      <c r="AD229" s="587" t="s">
        <v>38</v>
      </c>
      <c r="AE229" s="602" t="str">
        <f>IFERROR(ROUNDDOWN(ROUND(L227*R229,0)*M227,0)*AC229,"")</f>
        <v/>
      </c>
      <c r="AF229" s="591" t="str">
        <f>IFERROR(ROUNDDOWN(ROUND(L227*(R229-P229),0)*M227,0)*AC229,"")</f>
        <v/>
      </c>
      <c r="AG229" s="592">
        <f t="shared" si="189"/>
        <v>0</v>
      </c>
      <c r="AH229" s="471"/>
      <c r="AI229" s="472"/>
      <c r="AJ229" s="473"/>
      <c r="AK229" s="474"/>
      <c r="AL229" s="475"/>
      <c r="AM229" s="476"/>
      <c r="AN229" s="593"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314">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183</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26"/>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234">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IF(AG232&lt;&gt;"",IF(AH232="○","入力済","未入力"),"")</f>
        <v>未入力</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315"/>
      <c r="B231" s="1226"/>
      <c r="C231" s="1226"/>
      <c r="D231" s="1226"/>
      <c r="E231" s="1226"/>
      <c r="F231" s="1226"/>
      <c r="G231" s="1229"/>
      <c r="H231" s="1229"/>
      <c r="I231" s="1229"/>
      <c r="J231" s="1229"/>
      <c r="K231" s="1229"/>
      <c r="L231" s="1232"/>
      <c r="M231" s="1235"/>
      <c r="N231" s="573" t="s">
        <v>170</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26"/>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316"/>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26"/>
        <v>2</v>
      </c>
      <c r="AD232" s="587" t="s">
        <v>38</v>
      </c>
      <c r="AE232" s="602" t="str">
        <f>IFERROR(ROUNDDOWN(ROUND(L230*R232,0)*M230,0)*AC232,"")</f>
        <v/>
      </c>
      <c r="AF232" s="591" t="str">
        <f>IFERROR(ROUNDDOWN(ROUND(L230*(R232-P232),0)*M230,0)*AC232,"")</f>
        <v/>
      </c>
      <c r="AG232" s="592">
        <f t="shared" si="189"/>
        <v>0</v>
      </c>
      <c r="AH232" s="471"/>
      <c r="AI232" s="472"/>
      <c r="AJ232" s="473"/>
      <c r="AK232" s="474"/>
      <c r="AL232" s="475"/>
      <c r="AM232" s="476"/>
      <c r="AN232" s="593"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314">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183</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26"/>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237">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IF(AG235&lt;&gt;"",IF(AH235="○","入力済","未入力"),"")</f>
        <v>未入力</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315"/>
      <c r="B234" s="1226"/>
      <c r="C234" s="1226"/>
      <c r="D234" s="1226"/>
      <c r="E234" s="1226"/>
      <c r="F234" s="1226"/>
      <c r="G234" s="1229"/>
      <c r="H234" s="1229"/>
      <c r="I234" s="1229"/>
      <c r="J234" s="1229"/>
      <c r="K234" s="1229"/>
      <c r="L234" s="1232"/>
      <c r="M234" s="1235"/>
      <c r="N234" s="573" t="s">
        <v>170</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26"/>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316"/>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26"/>
        <v>2</v>
      </c>
      <c r="AD235" s="587" t="s">
        <v>38</v>
      </c>
      <c r="AE235" s="602" t="str">
        <f>IFERROR(ROUNDDOWN(ROUND(L233*R235,0)*M233,0)*AC235,"")</f>
        <v/>
      </c>
      <c r="AF235" s="591" t="str">
        <f>IFERROR(ROUNDDOWN(ROUND(L233*(R235-P235),0)*M233,0)*AC235,"")</f>
        <v/>
      </c>
      <c r="AG235" s="592">
        <f t="shared" si="189"/>
        <v>0</v>
      </c>
      <c r="AH235" s="471"/>
      <c r="AI235" s="472"/>
      <c r="AJ235" s="473"/>
      <c r="AK235" s="474"/>
      <c r="AL235" s="475"/>
      <c r="AM235" s="476"/>
      <c r="AN235" s="593"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314">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183</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26"/>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240">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IF(AG238&lt;&gt;"",IF(AH238="○","入力済","未入力"),"")</f>
        <v>未入力</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315"/>
      <c r="B237" s="1226"/>
      <c r="C237" s="1226"/>
      <c r="D237" s="1226"/>
      <c r="E237" s="1226"/>
      <c r="F237" s="1226"/>
      <c r="G237" s="1229"/>
      <c r="H237" s="1229"/>
      <c r="I237" s="1229"/>
      <c r="J237" s="1229"/>
      <c r="K237" s="1229"/>
      <c r="L237" s="1232"/>
      <c r="M237" s="1235"/>
      <c r="N237" s="573" t="s">
        <v>170</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26"/>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316"/>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26"/>
        <v>2</v>
      </c>
      <c r="AD238" s="587" t="s">
        <v>38</v>
      </c>
      <c r="AE238" s="602" t="str">
        <f>IFERROR(ROUNDDOWN(ROUND(L236*R238,0)*M236,0)*AC238,"")</f>
        <v/>
      </c>
      <c r="AF238" s="591" t="str">
        <f>IFERROR(ROUNDDOWN(ROUND(L236*(R238-P238),0)*M236,0)*AC238,"")</f>
        <v/>
      </c>
      <c r="AG238" s="592">
        <f t="shared" si="189"/>
        <v>0</v>
      </c>
      <c r="AH238" s="471"/>
      <c r="AI238" s="472"/>
      <c r="AJ238" s="473"/>
      <c r="AK238" s="474"/>
      <c r="AL238" s="475"/>
      <c r="AM238" s="476"/>
      <c r="AN238" s="593"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314">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183</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26"/>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243">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IF(AG241&lt;&gt;"",IF(AH241="○","入力済","未入力"),"")</f>
        <v>未入力</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315"/>
      <c r="B240" s="1226"/>
      <c r="C240" s="1226"/>
      <c r="D240" s="1226"/>
      <c r="E240" s="1226"/>
      <c r="F240" s="1226"/>
      <c r="G240" s="1229"/>
      <c r="H240" s="1229"/>
      <c r="I240" s="1229"/>
      <c r="J240" s="1229"/>
      <c r="K240" s="1229"/>
      <c r="L240" s="1232"/>
      <c r="M240" s="1235"/>
      <c r="N240" s="573" t="s">
        <v>170</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26"/>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316"/>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26"/>
        <v>2</v>
      </c>
      <c r="AD241" s="587" t="s">
        <v>38</v>
      </c>
      <c r="AE241" s="602" t="str">
        <f>IFERROR(ROUNDDOWN(ROUND(L239*R241,0)*M239,0)*AC241,"")</f>
        <v/>
      </c>
      <c r="AF241" s="591" t="str">
        <f>IFERROR(ROUNDDOWN(ROUND(L239*(R241-P241),0)*M239,0)*AC241,"")</f>
        <v/>
      </c>
      <c r="AG241" s="592">
        <f t="shared" si="189"/>
        <v>0</v>
      </c>
      <c r="AH241" s="471"/>
      <c r="AI241" s="472"/>
      <c r="AJ241" s="473"/>
      <c r="AK241" s="474"/>
      <c r="AL241" s="475"/>
      <c r="AM241" s="476"/>
      <c r="AN241" s="593"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314">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183</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26"/>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246">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IF(AG244&lt;&gt;"",IF(AH244="○","入力済","未入力"),"")</f>
        <v>未入力</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315"/>
      <c r="B243" s="1226"/>
      <c r="C243" s="1226"/>
      <c r="D243" s="1226"/>
      <c r="E243" s="1226"/>
      <c r="F243" s="1226"/>
      <c r="G243" s="1229"/>
      <c r="H243" s="1229"/>
      <c r="I243" s="1229"/>
      <c r="J243" s="1229"/>
      <c r="K243" s="1229"/>
      <c r="L243" s="1232"/>
      <c r="M243" s="1235"/>
      <c r="N243" s="573" t="s">
        <v>170</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26"/>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316"/>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26"/>
        <v>2</v>
      </c>
      <c r="AD244" s="587" t="s">
        <v>38</v>
      </c>
      <c r="AE244" s="602" t="str">
        <f>IFERROR(ROUNDDOWN(ROUND(L242*R244,0)*M242,0)*AC244,"")</f>
        <v/>
      </c>
      <c r="AF244" s="591" t="str">
        <f>IFERROR(ROUNDDOWN(ROUND(L242*(R244-P244),0)*M242,0)*AC244,"")</f>
        <v/>
      </c>
      <c r="AG244" s="592">
        <f t="shared" si="189"/>
        <v>0</v>
      </c>
      <c r="AH244" s="471"/>
      <c r="AI244" s="472"/>
      <c r="AJ244" s="473"/>
      <c r="AK244" s="474"/>
      <c r="AL244" s="475"/>
      <c r="AM244" s="476"/>
      <c r="AN244" s="593"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314">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183</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26"/>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249">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IF(AG247&lt;&gt;"",IF(AH247="○","入力済","未入力"),"")</f>
        <v>未入力</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315"/>
      <c r="B246" s="1226"/>
      <c r="C246" s="1226"/>
      <c r="D246" s="1226"/>
      <c r="E246" s="1226"/>
      <c r="F246" s="1226"/>
      <c r="G246" s="1229"/>
      <c r="H246" s="1229"/>
      <c r="I246" s="1229"/>
      <c r="J246" s="1229"/>
      <c r="K246" s="1229"/>
      <c r="L246" s="1232"/>
      <c r="M246" s="1235"/>
      <c r="N246" s="573" t="s">
        <v>170</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26"/>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316"/>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26"/>
        <v>2</v>
      </c>
      <c r="AD247" s="587" t="s">
        <v>38</v>
      </c>
      <c r="AE247" s="602" t="str">
        <f>IFERROR(ROUNDDOWN(ROUND(L245*R247,0)*M245,0)*AC247,"")</f>
        <v/>
      </c>
      <c r="AF247" s="591" t="str">
        <f>IFERROR(ROUNDDOWN(ROUND(L245*(R247-P247),0)*M245,0)*AC247,"")</f>
        <v/>
      </c>
      <c r="AG247" s="592">
        <f t="shared" si="189"/>
        <v>0</v>
      </c>
      <c r="AH247" s="471"/>
      <c r="AI247" s="472"/>
      <c r="AJ247" s="473"/>
      <c r="AK247" s="474"/>
      <c r="AL247" s="475"/>
      <c r="AM247" s="476"/>
      <c r="AN247" s="593"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314">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183</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26"/>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252">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IF(AG250&lt;&gt;"",IF(AH250="○","入力済","未入力"),"")</f>
        <v>未入力</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315"/>
      <c r="B249" s="1226"/>
      <c r="C249" s="1226"/>
      <c r="D249" s="1226"/>
      <c r="E249" s="1226"/>
      <c r="F249" s="1226"/>
      <c r="G249" s="1229"/>
      <c r="H249" s="1229"/>
      <c r="I249" s="1229"/>
      <c r="J249" s="1229"/>
      <c r="K249" s="1229"/>
      <c r="L249" s="1232"/>
      <c r="M249" s="1235"/>
      <c r="N249" s="573" t="s">
        <v>170</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26"/>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316"/>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26"/>
        <v>2</v>
      </c>
      <c r="AD250" s="587" t="s">
        <v>38</v>
      </c>
      <c r="AE250" s="602" t="str">
        <f>IFERROR(ROUNDDOWN(ROUND(L248*R250,0)*M248,0)*AC250,"")</f>
        <v/>
      </c>
      <c r="AF250" s="591" t="str">
        <f>IFERROR(ROUNDDOWN(ROUND(L248*(R250-P250),0)*M248,0)*AC250,"")</f>
        <v/>
      </c>
      <c r="AG250" s="592">
        <f t="shared" si="189"/>
        <v>0</v>
      </c>
      <c r="AH250" s="471"/>
      <c r="AI250" s="472"/>
      <c r="AJ250" s="473"/>
      <c r="AK250" s="474"/>
      <c r="AL250" s="475"/>
      <c r="AM250" s="476"/>
      <c r="AN250" s="593"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314">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183</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26"/>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255">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IF(AG253&lt;&gt;"",IF(AH253="○","入力済","未入力"),"")</f>
        <v>未入力</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315"/>
      <c r="B252" s="1226"/>
      <c r="C252" s="1226"/>
      <c r="D252" s="1226"/>
      <c r="E252" s="1226"/>
      <c r="F252" s="1226"/>
      <c r="G252" s="1229"/>
      <c r="H252" s="1229"/>
      <c r="I252" s="1229"/>
      <c r="J252" s="1229"/>
      <c r="K252" s="1229"/>
      <c r="L252" s="1232"/>
      <c r="M252" s="1235"/>
      <c r="N252" s="573" t="s">
        <v>170</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26"/>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316"/>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26"/>
        <v>2</v>
      </c>
      <c r="AD253" s="587" t="s">
        <v>38</v>
      </c>
      <c r="AE253" s="602" t="str">
        <f>IFERROR(ROUNDDOWN(ROUND(L251*R253,0)*M251,0)*AC253,"")</f>
        <v/>
      </c>
      <c r="AF253" s="591" t="str">
        <f>IFERROR(ROUNDDOWN(ROUND(L251*(R253-P253),0)*M251,0)*AC253,"")</f>
        <v/>
      </c>
      <c r="AG253" s="592">
        <f t="shared" ref="AG253:AG313" si="257">IF(AND(O253="ベア加算なし",Q253="ベア加算"),AE253,0)</f>
        <v>0</v>
      </c>
      <c r="AH253" s="471"/>
      <c r="AI253" s="472"/>
      <c r="AJ253" s="473"/>
      <c r="AK253" s="474"/>
      <c r="AL253" s="475"/>
      <c r="AM253" s="476"/>
      <c r="AN253" s="593"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314">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183</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26"/>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259">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IF(AG256&lt;&gt;"",IF(AH256="○","入力済","未入力"),"")</f>
        <v>未入力</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315"/>
      <c r="B255" s="1226"/>
      <c r="C255" s="1226"/>
      <c r="D255" s="1226"/>
      <c r="E255" s="1226"/>
      <c r="F255" s="1226"/>
      <c r="G255" s="1229"/>
      <c r="H255" s="1229"/>
      <c r="I255" s="1229"/>
      <c r="J255" s="1229"/>
      <c r="K255" s="1229"/>
      <c r="L255" s="1232"/>
      <c r="M255" s="1235"/>
      <c r="N255" s="573" t="s">
        <v>170</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26"/>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316"/>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26"/>
        <v>2</v>
      </c>
      <c r="AD256" s="587" t="s">
        <v>38</v>
      </c>
      <c r="AE256" s="602" t="str">
        <f>IFERROR(ROUNDDOWN(ROUND(L254*R256,0)*M254,0)*AC256,"")</f>
        <v/>
      </c>
      <c r="AF256" s="591" t="str">
        <f>IFERROR(ROUNDDOWN(ROUND(L254*(R256-P256),0)*M254,0)*AC256,"")</f>
        <v/>
      </c>
      <c r="AG256" s="592">
        <f t="shared" si="257"/>
        <v>0</v>
      </c>
      <c r="AH256" s="471"/>
      <c r="AI256" s="472"/>
      <c r="AJ256" s="473"/>
      <c r="AK256" s="474"/>
      <c r="AL256" s="475"/>
      <c r="AM256" s="476"/>
      <c r="AN256" s="593"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314">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183</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26"/>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26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IF(AG259&lt;&gt;"",IF(AH259="○","入力済","未入力"),"")</f>
        <v>未入力</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315"/>
      <c r="B258" s="1226"/>
      <c r="C258" s="1226"/>
      <c r="D258" s="1226"/>
      <c r="E258" s="1226"/>
      <c r="F258" s="1226"/>
      <c r="G258" s="1229"/>
      <c r="H258" s="1229"/>
      <c r="I258" s="1229"/>
      <c r="J258" s="1229"/>
      <c r="K258" s="1229"/>
      <c r="L258" s="1232"/>
      <c r="M258" s="1235"/>
      <c r="N258" s="573" t="s">
        <v>170</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26"/>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316"/>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26"/>
        <v>2</v>
      </c>
      <c r="AD259" s="587" t="s">
        <v>38</v>
      </c>
      <c r="AE259" s="602" t="str">
        <f>IFERROR(ROUNDDOWN(ROUND(L257*R259,0)*M257,0)*AC259,"")</f>
        <v/>
      </c>
      <c r="AF259" s="591" t="str">
        <f>IFERROR(ROUNDDOWN(ROUND(L257*(R259-P259),0)*M257,0)*AC259,"")</f>
        <v/>
      </c>
      <c r="AG259" s="592">
        <f t="shared" si="257"/>
        <v>0</v>
      </c>
      <c r="AH259" s="471"/>
      <c r="AI259" s="472"/>
      <c r="AJ259" s="473"/>
      <c r="AK259" s="474"/>
      <c r="AL259" s="475"/>
      <c r="AM259" s="476"/>
      <c r="AN259" s="593"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314">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183</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26"/>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265">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IF(AG262&lt;&gt;"",IF(AH262="○","入力済","未入力"),"")</f>
        <v>未入力</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315"/>
      <c r="B261" s="1226"/>
      <c r="C261" s="1226"/>
      <c r="D261" s="1226"/>
      <c r="E261" s="1226"/>
      <c r="F261" s="1226"/>
      <c r="G261" s="1229"/>
      <c r="H261" s="1229"/>
      <c r="I261" s="1229"/>
      <c r="J261" s="1229"/>
      <c r="K261" s="1229"/>
      <c r="L261" s="1232"/>
      <c r="M261" s="1235"/>
      <c r="N261" s="573" t="s">
        <v>170</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26"/>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316"/>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26"/>
        <v>2</v>
      </c>
      <c r="AD262" s="587" t="s">
        <v>38</v>
      </c>
      <c r="AE262" s="602" t="str">
        <f>IFERROR(ROUNDDOWN(ROUND(L260*R262,0)*M260,0)*AC262,"")</f>
        <v/>
      </c>
      <c r="AF262" s="591" t="str">
        <f>IFERROR(ROUNDDOWN(ROUND(L260*(R262-P262),0)*M260,0)*AC262,"")</f>
        <v/>
      </c>
      <c r="AG262" s="592">
        <f t="shared" si="257"/>
        <v>0</v>
      </c>
      <c r="AH262" s="471"/>
      <c r="AI262" s="472"/>
      <c r="AJ262" s="473"/>
      <c r="AK262" s="474"/>
      <c r="AL262" s="475"/>
      <c r="AM262" s="476"/>
      <c r="AN262" s="593"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314">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183</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26"/>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268">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IF(AG265&lt;&gt;"",IF(AH265="○","入力済","未入力"),"")</f>
        <v>未入力</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315"/>
      <c r="B264" s="1226"/>
      <c r="C264" s="1226"/>
      <c r="D264" s="1226"/>
      <c r="E264" s="1226"/>
      <c r="F264" s="1226"/>
      <c r="G264" s="1229"/>
      <c r="H264" s="1229"/>
      <c r="I264" s="1229"/>
      <c r="J264" s="1229"/>
      <c r="K264" s="1229"/>
      <c r="L264" s="1232"/>
      <c r="M264" s="1235"/>
      <c r="N264" s="573" t="s">
        <v>170</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26"/>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316"/>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26"/>
        <v>2</v>
      </c>
      <c r="AD265" s="587" t="s">
        <v>38</v>
      </c>
      <c r="AE265" s="602" t="str">
        <f>IFERROR(ROUNDDOWN(ROUND(L263*R265,0)*M263,0)*AC265,"")</f>
        <v/>
      </c>
      <c r="AF265" s="591" t="str">
        <f>IFERROR(ROUNDDOWN(ROUND(L263*(R265-P265),0)*M263,0)*AC265,"")</f>
        <v/>
      </c>
      <c r="AG265" s="592">
        <f t="shared" si="257"/>
        <v>0</v>
      </c>
      <c r="AH265" s="471"/>
      <c r="AI265" s="472"/>
      <c r="AJ265" s="473"/>
      <c r="AK265" s="474"/>
      <c r="AL265" s="475"/>
      <c r="AM265" s="476"/>
      <c r="AN265" s="593"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314">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183</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26"/>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271">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IF(AG268&lt;&gt;"",IF(AH268="○","入力済","未入力"),"")</f>
        <v>未入力</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315"/>
      <c r="B267" s="1226"/>
      <c r="C267" s="1226"/>
      <c r="D267" s="1226"/>
      <c r="E267" s="1226"/>
      <c r="F267" s="1226"/>
      <c r="G267" s="1229"/>
      <c r="H267" s="1229"/>
      <c r="I267" s="1229"/>
      <c r="J267" s="1229"/>
      <c r="K267" s="1229"/>
      <c r="L267" s="1232"/>
      <c r="M267" s="1235"/>
      <c r="N267" s="573" t="s">
        <v>170</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26"/>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316"/>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26"/>
        <v>2</v>
      </c>
      <c r="AD268" s="587" t="s">
        <v>38</v>
      </c>
      <c r="AE268" s="602" t="str">
        <f>IFERROR(ROUNDDOWN(ROUND(L266*R268,0)*M266,0)*AC268,"")</f>
        <v/>
      </c>
      <c r="AF268" s="591" t="str">
        <f>IFERROR(ROUNDDOWN(ROUND(L266*(R268-P268),0)*M266,0)*AC268,"")</f>
        <v/>
      </c>
      <c r="AG268" s="592">
        <f t="shared" si="257"/>
        <v>0</v>
      </c>
      <c r="AH268" s="471"/>
      <c r="AI268" s="472"/>
      <c r="AJ268" s="473"/>
      <c r="AK268" s="474"/>
      <c r="AL268" s="475"/>
      <c r="AM268" s="476"/>
      <c r="AN268" s="593"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314">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183</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26"/>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274">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IF(AG271&lt;&gt;"",IF(AH271="○","入力済","未入力"),"")</f>
        <v>未入力</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315"/>
      <c r="B270" s="1226"/>
      <c r="C270" s="1226"/>
      <c r="D270" s="1226"/>
      <c r="E270" s="1226"/>
      <c r="F270" s="1226"/>
      <c r="G270" s="1229"/>
      <c r="H270" s="1229"/>
      <c r="I270" s="1229"/>
      <c r="J270" s="1229"/>
      <c r="K270" s="1229"/>
      <c r="L270" s="1232"/>
      <c r="M270" s="1235"/>
      <c r="N270" s="573" t="s">
        <v>170</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26"/>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316"/>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26"/>
        <v>2</v>
      </c>
      <c r="AD271" s="587" t="s">
        <v>38</v>
      </c>
      <c r="AE271" s="602" t="str">
        <f>IFERROR(ROUNDDOWN(ROUND(L269*R271,0)*M269,0)*AC271,"")</f>
        <v/>
      </c>
      <c r="AF271" s="591" t="str">
        <f>IFERROR(ROUNDDOWN(ROUND(L269*(R271-P271),0)*M269,0)*AC271,"")</f>
        <v/>
      </c>
      <c r="AG271" s="592">
        <f t="shared" si="257"/>
        <v>0</v>
      </c>
      <c r="AH271" s="471"/>
      <c r="AI271" s="472"/>
      <c r="AJ271" s="473"/>
      <c r="AK271" s="474"/>
      <c r="AL271" s="475"/>
      <c r="AM271" s="476"/>
      <c r="AN271" s="593"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314">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183</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26"/>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277">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IF(AG274&lt;&gt;"",IF(AH274="○","入力済","未入力"),"")</f>
        <v>未入力</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315"/>
      <c r="B273" s="1226"/>
      <c r="C273" s="1226"/>
      <c r="D273" s="1226"/>
      <c r="E273" s="1226"/>
      <c r="F273" s="1226"/>
      <c r="G273" s="1229"/>
      <c r="H273" s="1229"/>
      <c r="I273" s="1229"/>
      <c r="J273" s="1229"/>
      <c r="K273" s="1229"/>
      <c r="L273" s="1232"/>
      <c r="M273" s="1235"/>
      <c r="N273" s="573" t="s">
        <v>170</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26"/>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316"/>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26"/>
        <v>2</v>
      </c>
      <c r="AD274" s="587" t="s">
        <v>38</v>
      </c>
      <c r="AE274" s="602" t="str">
        <f>IFERROR(ROUNDDOWN(ROUND(L272*R274,0)*M272,0)*AC274,"")</f>
        <v/>
      </c>
      <c r="AF274" s="591" t="str">
        <f>IFERROR(ROUNDDOWN(ROUND(L272*(R274-P274),0)*M272,0)*AC274,"")</f>
        <v/>
      </c>
      <c r="AG274" s="592">
        <f t="shared" si="257"/>
        <v>0</v>
      </c>
      <c r="AH274" s="471"/>
      <c r="AI274" s="472"/>
      <c r="AJ274" s="473"/>
      <c r="AK274" s="474"/>
      <c r="AL274" s="475"/>
      <c r="AM274" s="476"/>
      <c r="AN274" s="593"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314">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183</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26"/>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280">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IF(AG277&lt;&gt;"",IF(AH277="○","入力済","未入力"),"")</f>
        <v>未入力</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315"/>
      <c r="B276" s="1226"/>
      <c r="C276" s="1226"/>
      <c r="D276" s="1226"/>
      <c r="E276" s="1226"/>
      <c r="F276" s="1226"/>
      <c r="G276" s="1229"/>
      <c r="H276" s="1229"/>
      <c r="I276" s="1229"/>
      <c r="J276" s="1229"/>
      <c r="K276" s="1229"/>
      <c r="L276" s="1232"/>
      <c r="M276" s="1235"/>
      <c r="N276" s="573" t="s">
        <v>170</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26"/>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316"/>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26"/>
        <v>2</v>
      </c>
      <c r="AD277" s="587" t="s">
        <v>38</v>
      </c>
      <c r="AE277" s="602" t="str">
        <f>IFERROR(ROUNDDOWN(ROUND(L275*R277,0)*M275,0)*AC277,"")</f>
        <v/>
      </c>
      <c r="AF277" s="591" t="str">
        <f>IFERROR(ROUNDDOWN(ROUND(L275*(R277-P277),0)*M275,0)*AC277,"")</f>
        <v/>
      </c>
      <c r="AG277" s="592">
        <f t="shared" si="257"/>
        <v>0</v>
      </c>
      <c r="AH277" s="471"/>
      <c r="AI277" s="472"/>
      <c r="AJ277" s="473"/>
      <c r="AK277" s="474"/>
      <c r="AL277" s="475"/>
      <c r="AM277" s="476"/>
      <c r="AN277" s="593"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314">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183</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26"/>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283">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IF(AG280&lt;&gt;"",IF(AH280="○","入力済","未入力"),"")</f>
        <v>未入力</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315"/>
      <c r="B279" s="1226"/>
      <c r="C279" s="1226"/>
      <c r="D279" s="1226"/>
      <c r="E279" s="1226"/>
      <c r="F279" s="1226"/>
      <c r="G279" s="1229"/>
      <c r="H279" s="1229"/>
      <c r="I279" s="1229"/>
      <c r="J279" s="1229"/>
      <c r="K279" s="1229"/>
      <c r="L279" s="1232"/>
      <c r="M279" s="1235"/>
      <c r="N279" s="573" t="s">
        <v>170</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26"/>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316"/>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26"/>
        <v>2</v>
      </c>
      <c r="AD280" s="587" t="s">
        <v>38</v>
      </c>
      <c r="AE280" s="602" t="str">
        <f>IFERROR(ROUNDDOWN(ROUND(L278*R280,0)*M278,0)*AC280,"")</f>
        <v/>
      </c>
      <c r="AF280" s="591" t="str">
        <f>IFERROR(ROUNDDOWN(ROUND(L278*(R280-P280),0)*M278,0)*AC280,"")</f>
        <v/>
      </c>
      <c r="AG280" s="592">
        <f t="shared" si="257"/>
        <v>0</v>
      </c>
      <c r="AH280" s="471"/>
      <c r="AI280" s="472"/>
      <c r="AJ280" s="473"/>
      <c r="AK280" s="474"/>
      <c r="AL280" s="475"/>
      <c r="AM280" s="476"/>
      <c r="AN280" s="593"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314">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183</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26"/>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286">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IF(AG283&lt;&gt;"",IF(AH283="○","入力済","未入力"),"")</f>
        <v>未入力</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315"/>
      <c r="B282" s="1226"/>
      <c r="C282" s="1226"/>
      <c r="D282" s="1226"/>
      <c r="E282" s="1226"/>
      <c r="F282" s="1226"/>
      <c r="G282" s="1229"/>
      <c r="H282" s="1229"/>
      <c r="I282" s="1229"/>
      <c r="J282" s="1229"/>
      <c r="K282" s="1229"/>
      <c r="L282" s="1232"/>
      <c r="M282" s="1235"/>
      <c r="N282" s="573" t="s">
        <v>170</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26"/>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316"/>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26"/>
        <v>2</v>
      </c>
      <c r="AD283" s="587" t="s">
        <v>38</v>
      </c>
      <c r="AE283" s="602" t="str">
        <f>IFERROR(ROUNDDOWN(ROUND(L281*R283,0)*M281,0)*AC283,"")</f>
        <v/>
      </c>
      <c r="AF283" s="591" t="str">
        <f>IFERROR(ROUNDDOWN(ROUND(L281*(R283-P283),0)*M281,0)*AC283,"")</f>
        <v/>
      </c>
      <c r="AG283" s="592">
        <f t="shared" si="257"/>
        <v>0</v>
      </c>
      <c r="AH283" s="471"/>
      <c r="AI283" s="472"/>
      <c r="AJ283" s="473"/>
      <c r="AK283" s="474"/>
      <c r="AL283" s="475"/>
      <c r="AM283" s="476"/>
      <c r="AN283" s="593"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314">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183</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26"/>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289">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IF(AG286&lt;&gt;"",IF(AH286="○","入力済","未入力"),"")</f>
        <v>未入力</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315"/>
      <c r="B285" s="1226"/>
      <c r="C285" s="1226"/>
      <c r="D285" s="1226"/>
      <c r="E285" s="1226"/>
      <c r="F285" s="1226"/>
      <c r="G285" s="1229"/>
      <c r="H285" s="1229"/>
      <c r="I285" s="1229"/>
      <c r="J285" s="1229"/>
      <c r="K285" s="1229"/>
      <c r="L285" s="1232"/>
      <c r="M285" s="1235"/>
      <c r="N285" s="573" t="s">
        <v>170</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26"/>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316"/>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26"/>
        <v>2</v>
      </c>
      <c r="AD286" s="587" t="s">
        <v>38</v>
      </c>
      <c r="AE286" s="602" t="str">
        <f>IFERROR(ROUNDDOWN(ROUND(L284*R286,0)*M284,0)*AC286,"")</f>
        <v/>
      </c>
      <c r="AF286" s="591" t="str">
        <f>IFERROR(ROUNDDOWN(ROUND(L284*(R286-P286),0)*M284,0)*AC286,"")</f>
        <v/>
      </c>
      <c r="AG286" s="592">
        <f t="shared" si="257"/>
        <v>0</v>
      </c>
      <c r="AH286" s="471"/>
      <c r="AI286" s="472"/>
      <c r="AJ286" s="473"/>
      <c r="AK286" s="474"/>
      <c r="AL286" s="475"/>
      <c r="AM286" s="476"/>
      <c r="AN286" s="593"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314">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183</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29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29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IF(AG289&lt;&gt;"",IF(AH289="○","入力済","未入力"),"")</f>
        <v>未入力</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315"/>
      <c r="B288" s="1226"/>
      <c r="C288" s="1226"/>
      <c r="D288" s="1226"/>
      <c r="E288" s="1226"/>
      <c r="F288" s="1226"/>
      <c r="G288" s="1229"/>
      <c r="H288" s="1229"/>
      <c r="I288" s="1229"/>
      <c r="J288" s="1229"/>
      <c r="K288" s="1229"/>
      <c r="L288" s="1232"/>
      <c r="M288" s="1235"/>
      <c r="N288" s="573" t="s">
        <v>170</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29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316"/>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292"/>
        <v>2</v>
      </c>
      <c r="AD289" s="587" t="s">
        <v>38</v>
      </c>
      <c r="AE289" s="602" t="str">
        <f>IFERROR(ROUNDDOWN(ROUND(L287*R289,0)*M287,0)*AC289,"")</f>
        <v/>
      </c>
      <c r="AF289" s="591" t="str">
        <f>IFERROR(ROUNDDOWN(ROUND(L287*(R289-P289),0)*M287,0)*AC289,"")</f>
        <v/>
      </c>
      <c r="AG289" s="592">
        <f t="shared" si="257"/>
        <v>0</v>
      </c>
      <c r="AH289" s="471"/>
      <c r="AI289" s="472"/>
      <c r="AJ289" s="473"/>
      <c r="AK289" s="474"/>
      <c r="AL289" s="475"/>
      <c r="AM289" s="476"/>
      <c r="AN289" s="593"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314">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183</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29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296">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IF(AG292&lt;&gt;"",IF(AH292="○","入力済","未入力"),"")</f>
        <v>未入力</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315"/>
      <c r="B291" s="1226"/>
      <c r="C291" s="1226"/>
      <c r="D291" s="1226"/>
      <c r="E291" s="1226"/>
      <c r="F291" s="1226"/>
      <c r="G291" s="1229"/>
      <c r="H291" s="1229"/>
      <c r="I291" s="1229"/>
      <c r="J291" s="1229"/>
      <c r="K291" s="1229"/>
      <c r="L291" s="1232"/>
      <c r="M291" s="1235"/>
      <c r="N291" s="573" t="s">
        <v>170</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29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316"/>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292"/>
        <v>2</v>
      </c>
      <c r="AD292" s="587" t="s">
        <v>38</v>
      </c>
      <c r="AE292" s="602" t="str">
        <f>IFERROR(ROUNDDOWN(ROUND(L290*R292,0)*M290,0)*AC292,"")</f>
        <v/>
      </c>
      <c r="AF292" s="591" t="str">
        <f>IFERROR(ROUNDDOWN(ROUND(L290*(R292-P292),0)*M290,0)*AC292,"")</f>
        <v/>
      </c>
      <c r="AG292" s="592">
        <f t="shared" si="257"/>
        <v>0</v>
      </c>
      <c r="AH292" s="471"/>
      <c r="AI292" s="472"/>
      <c r="AJ292" s="473"/>
      <c r="AK292" s="474"/>
      <c r="AL292" s="475"/>
      <c r="AM292" s="476"/>
      <c r="AN292" s="593"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314">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183</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29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299">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IF(AG295&lt;&gt;"",IF(AH295="○","入力済","未入力"),"")</f>
        <v>未入力</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315"/>
      <c r="B294" s="1226"/>
      <c r="C294" s="1226"/>
      <c r="D294" s="1226"/>
      <c r="E294" s="1226"/>
      <c r="F294" s="1226"/>
      <c r="G294" s="1229"/>
      <c r="H294" s="1229"/>
      <c r="I294" s="1229"/>
      <c r="J294" s="1229"/>
      <c r="K294" s="1229"/>
      <c r="L294" s="1232"/>
      <c r="M294" s="1235"/>
      <c r="N294" s="573" t="s">
        <v>170</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29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316"/>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292"/>
        <v>2</v>
      </c>
      <c r="AD295" s="587" t="s">
        <v>38</v>
      </c>
      <c r="AE295" s="602" t="str">
        <f>IFERROR(ROUNDDOWN(ROUND(L293*R295,0)*M293,0)*AC295,"")</f>
        <v/>
      </c>
      <c r="AF295" s="591" t="str">
        <f>IFERROR(ROUNDDOWN(ROUND(L293*(R295-P295),0)*M293,0)*AC295,"")</f>
        <v/>
      </c>
      <c r="AG295" s="592">
        <f t="shared" si="257"/>
        <v>0</v>
      </c>
      <c r="AH295" s="471"/>
      <c r="AI295" s="472"/>
      <c r="AJ295" s="473"/>
      <c r="AK295" s="474"/>
      <c r="AL295" s="475"/>
      <c r="AM295" s="476"/>
      <c r="AN295" s="593"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314">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183</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29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02">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IF(AG298&lt;&gt;"",IF(AH298="○","入力済","未入力"),"")</f>
        <v>未入力</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315"/>
      <c r="B297" s="1226"/>
      <c r="C297" s="1226"/>
      <c r="D297" s="1226"/>
      <c r="E297" s="1226"/>
      <c r="F297" s="1226"/>
      <c r="G297" s="1229"/>
      <c r="H297" s="1229"/>
      <c r="I297" s="1229"/>
      <c r="J297" s="1229"/>
      <c r="K297" s="1229"/>
      <c r="L297" s="1232"/>
      <c r="M297" s="1235"/>
      <c r="N297" s="573" t="s">
        <v>170</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29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316"/>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292"/>
        <v>2</v>
      </c>
      <c r="AD298" s="587" t="s">
        <v>38</v>
      </c>
      <c r="AE298" s="602" t="str">
        <f>IFERROR(ROUNDDOWN(ROUND(L296*R298,0)*M296,0)*AC298,"")</f>
        <v/>
      </c>
      <c r="AF298" s="591" t="str">
        <f>IFERROR(ROUNDDOWN(ROUND(L296*(R298-P298),0)*M296,0)*AC298,"")</f>
        <v/>
      </c>
      <c r="AG298" s="592">
        <f t="shared" si="257"/>
        <v>0</v>
      </c>
      <c r="AH298" s="471"/>
      <c r="AI298" s="472"/>
      <c r="AJ298" s="473"/>
      <c r="AK298" s="474"/>
      <c r="AL298" s="475"/>
      <c r="AM298" s="476"/>
      <c r="AN298" s="593"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314">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183</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29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05">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IF(AG301&lt;&gt;"",IF(AH301="○","入力済","未入力"),"")</f>
        <v>未入力</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315"/>
      <c r="B300" s="1226"/>
      <c r="C300" s="1226"/>
      <c r="D300" s="1226"/>
      <c r="E300" s="1226"/>
      <c r="F300" s="1226"/>
      <c r="G300" s="1229"/>
      <c r="H300" s="1229"/>
      <c r="I300" s="1229"/>
      <c r="J300" s="1229"/>
      <c r="K300" s="1229"/>
      <c r="L300" s="1232"/>
      <c r="M300" s="1235"/>
      <c r="N300" s="573" t="s">
        <v>170</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29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316"/>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292"/>
        <v>2</v>
      </c>
      <c r="AD301" s="587" t="s">
        <v>38</v>
      </c>
      <c r="AE301" s="602" t="str">
        <f>IFERROR(ROUNDDOWN(ROUND(L299*R301,0)*M299,0)*AC301,"")</f>
        <v/>
      </c>
      <c r="AF301" s="591" t="str">
        <f>IFERROR(ROUNDDOWN(ROUND(L299*(R301-P301),0)*M299,0)*AC301,"")</f>
        <v/>
      </c>
      <c r="AG301" s="592">
        <f t="shared" si="257"/>
        <v>0</v>
      </c>
      <c r="AH301" s="471"/>
      <c r="AI301" s="472"/>
      <c r="AJ301" s="473"/>
      <c r="AK301" s="474"/>
      <c r="AL301" s="475"/>
      <c r="AM301" s="476"/>
      <c r="AN301" s="593"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314">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183</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29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308">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IF(AG304&lt;&gt;"",IF(AH304="○","入力済","未入力"),"")</f>
        <v>未入力</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315"/>
      <c r="B303" s="1226"/>
      <c r="C303" s="1226"/>
      <c r="D303" s="1226"/>
      <c r="E303" s="1226"/>
      <c r="F303" s="1226"/>
      <c r="G303" s="1229"/>
      <c r="H303" s="1229"/>
      <c r="I303" s="1229"/>
      <c r="J303" s="1229"/>
      <c r="K303" s="1229"/>
      <c r="L303" s="1232"/>
      <c r="M303" s="1235"/>
      <c r="N303" s="573" t="s">
        <v>170</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29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316"/>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292"/>
        <v>2</v>
      </c>
      <c r="AD304" s="587" t="s">
        <v>38</v>
      </c>
      <c r="AE304" s="602" t="str">
        <f>IFERROR(ROUNDDOWN(ROUND(L302*R304,0)*M302,0)*AC304,"")</f>
        <v/>
      </c>
      <c r="AF304" s="591" t="str">
        <f>IFERROR(ROUNDDOWN(ROUND(L302*(R304-P304),0)*M302,0)*AC304,"")</f>
        <v/>
      </c>
      <c r="AG304" s="592">
        <f t="shared" si="257"/>
        <v>0</v>
      </c>
      <c r="AH304" s="471"/>
      <c r="AI304" s="472"/>
      <c r="AJ304" s="473"/>
      <c r="AK304" s="474"/>
      <c r="AL304" s="475"/>
      <c r="AM304" s="476"/>
      <c r="AN304" s="593"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314">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183</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29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311">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IF(AG307&lt;&gt;"",IF(AH307="○","入力済","未入力"),"")</f>
        <v>未入力</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315"/>
      <c r="B306" s="1226"/>
      <c r="C306" s="1226"/>
      <c r="D306" s="1226"/>
      <c r="E306" s="1226"/>
      <c r="F306" s="1226"/>
      <c r="G306" s="1229"/>
      <c r="H306" s="1229"/>
      <c r="I306" s="1229"/>
      <c r="J306" s="1229"/>
      <c r="K306" s="1229"/>
      <c r="L306" s="1232"/>
      <c r="M306" s="1235"/>
      <c r="N306" s="573" t="s">
        <v>170</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29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316"/>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292"/>
        <v>2</v>
      </c>
      <c r="AD307" s="587" t="s">
        <v>38</v>
      </c>
      <c r="AE307" s="602" t="str">
        <f>IFERROR(ROUNDDOWN(ROUND(L305*R307,0)*M305,0)*AC307,"")</f>
        <v/>
      </c>
      <c r="AF307" s="591" t="str">
        <f>IFERROR(ROUNDDOWN(ROUND(L305*(R307-P307),0)*M305,0)*AC307,"")</f>
        <v/>
      </c>
      <c r="AG307" s="592">
        <f t="shared" si="257"/>
        <v>0</v>
      </c>
      <c r="AH307" s="471"/>
      <c r="AI307" s="472"/>
      <c r="AJ307" s="473"/>
      <c r="AK307" s="474"/>
      <c r="AL307" s="475"/>
      <c r="AM307" s="476"/>
      <c r="AN307" s="593"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314">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183</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29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314">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IF(AG310&lt;&gt;"",IF(AH310="○","入力済","未入力"),"")</f>
        <v>未入力</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315"/>
      <c r="B309" s="1226"/>
      <c r="C309" s="1226"/>
      <c r="D309" s="1226"/>
      <c r="E309" s="1226"/>
      <c r="F309" s="1226"/>
      <c r="G309" s="1229"/>
      <c r="H309" s="1229"/>
      <c r="I309" s="1229"/>
      <c r="J309" s="1229"/>
      <c r="K309" s="1229"/>
      <c r="L309" s="1232"/>
      <c r="M309" s="1235"/>
      <c r="N309" s="573" t="s">
        <v>170</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29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316"/>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292"/>
        <v>2</v>
      </c>
      <c r="AD310" s="587" t="s">
        <v>38</v>
      </c>
      <c r="AE310" s="602" t="str">
        <f>IFERROR(ROUNDDOWN(ROUND(L308*R310,0)*M308,0)*AC310,"")</f>
        <v/>
      </c>
      <c r="AF310" s="591" t="str">
        <f>IFERROR(ROUNDDOWN(ROUND(L308*(R310-P310),0)*M308,0)*AC310,"")</f>
        <v/>
      </c>
      <c r="AG310" s="592">
        <f t="shared" si="257"/>
        <v>0</v>
      </c>
      <c r="AH310" s="471"/>
      <c r="AI310" s="472"/>
      <c r="AJ310" s="473"/>
      <c r="AK310" s="474"/>
      <c r="AL310" s="475"/>
      <c r="AM310" s="476"/>
      <c r="AN310" s="593"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314">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183</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29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317">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IF(AG313&lt;&gt;"",IF(AH313="○","入力済","未入力"),"")</f>
        <v>未入力</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315"/>
      <c r="B312" s="1226"/>
      <c r="C312" s="1226"/>
      <c r="D312" s="1226"/>
      <c r="E312" s="1226"/>
      <c r="F312" s="1226"/>
      <c r="G312" s="1229"/>
      <c r="H312" s="1229"/>
      <c r="I312" s="1229"/>
      <c r="J312" s="1229"/>
      <c r="K312" s="1229"/>
      <c r="L312" s="1232"/>
      <c r="M312" s="1235"/>
      <c r="N312" s="573" t="s">
        <v>170</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29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316"/>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292"/>
        <v>2</v>
      </c>
      <c r="AD313" s="587" t="s">
        <v>38</v>
      </c>
      <c r="AE313" s="602" t="str">
        <f>IFERROR(ROUNDDOWN(ROUND(L311*R313,0)*M311,0)*AC313,"")</f>
        <v/>
      </c>
      <c r="AF313" s="591" t="str">
        <f>IFERROR(ROUNDDOWN(ROUND(L311*(R313-P313),0)*M311,0)*AC313,"")</f>
        <v/>
      </c>
      <c r="AG313" s="592">
        <f t="shared" si="257"/>
        <v>0</v>
      </c>
      <c r="AH313" s="471"/>
      <c r="AI313" s="472"/>
      <c r="AJ313" s="473"/>
      <c r="AK313" s="474"/>
      <c r="AL313" s="475"/>
      <c r="AM313" s="476"/>
      <c r="AN313" s="593"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bnl+M3UUc/HzdsAMktv2GyZFZ4Tkk/yaIVVc6qWMD3RUU/8G3F+hDQlNbZ4rs7c0bAOy7elVCuPrXiwvemJqDg==" saltValue="nKmHLCFbel43pIz4YYHxyA=="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M35:M37"/>
    <mergeCell ref="B38:F40"/>
    <mergeCell ref="G38:G40"/>
    <mergeCell ref="H38:H40"/>
    <mergeCell ref="I38:I40"/>
    <mergeCell ref="J38:J40"/>
    <mergeCell ref="K38:K40"/>
    <mergeCell ref="L38:L40"/>
    <mergeCell ref="M38:M40"/>
    <mergeCell ref="B110:F112"/>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44:A46"/>
    <mergeCell ref="A47:A49"/>
    <mergeCell ref="A50:A52"/>
    <mergeCell ref="A53:A55"/>
    <mergeCell ref="A56:A58"/>
    <mergeCell ref="A59:A61"/>
    <mergeCell ref="A62:A64"/>
    <mergeCell ref="A65:A67"/>
    <mergeCell ref="A68:A70"/>
    <mergeCell ref="B53:F55"/>
    <mergeCell ref="B62:F64"/>
    <mergeCell ref="A83:A85"/>
    <mergeCell ref="A71:A73"/>
    <mergeCell ref="A74:A76"/>
    <mergeCell ref="A77:A79"/>
    <mergeCell ref="A80:A82"/>
    <mergeCell ref="A92:A94"/>
    <mergeCell ref="B50:F52"/>
    <mergeCell ref="B65:F67"/>
    <mergeCell ref="B86:F88"/>
    <mergeCell ref="B74:F76"/>
    <mergeCell ref="B77:F79"/>
    <mergeCell ref="B68:F70"/>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B98:F100"/>
    <mergeCell ref="G89:G91"/>
    <mergeCell ref="H89:H91"/>
    <mergeCell ref="I89:I91"/>
    <mergeCell ref="J89:J91"/>
    <mergeCell ref="K89:K91"/>
    <mergeCell ref="G107:G109"/>
    <mergeCell ref="H107:H109"/>
    <mergeCell ref="I107:I109"/>
    <mergeCell ref="J107:J109"/>
    <mergeCell ref="K107:K109"/>
    <mergeCell ref="B107:F109"/>
    <mergeCell ref="B92:F94"/>
    <mergeCell ref="G92:G94"/>
    <mergeCell ref="H92:H94"/>
    <mergeCell ref="I92:I94"/>
    <mergeCell ref="J92:J94"/>
    <mergeCell ref="K92:K94"/>
    <mergeCell ref="G98:G100"/>
    <mergeCell ref="H98:H100"/>
    <mergeCell ref="I98:I100"/>
    <mergeCell ref="J98:J100"/>
    <mergeCell ref="K98:K100"/>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321" t="s">
        <v>5</v>
      </c>
      <c r="B3" s="1321"/>
      <c r="C3" s="1322"/>
      <c r="D3" s="1318" t="str">
        <f>IF(基本情報入力シート!M38="","",基本情報入力シート!M38)</f>
        <v/>
      </c>
      <c r="E3" s="1319"/>
      <c r="F3" s="1319"/>
      <c r="G3" s="1319"/>
      <c r="H3" s="1319"/>
      <c r="I3" s="1319"/>
      <c r="J3" s="1320"/>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2366</v>
      </c>
      <c r="B5" s="1328"/>
      <c r="C5" s="1328"/>
      <c r="D5" s="1328"/>
      <c r="E5" s="1328"/>
      <c r="F5" s="1328"/>
      <c r="G5" s="1328"/>
      <c r="H5" s="1328"/>
      <c r="I5" s="1328"/>
      <c r="J5" s="1328"/>
      <c r="K5" s="1329"/>
      <c r="L5" s="628">
        <f>IFERROR(SUMIF(T:T, "令和６年度の算定予定", AI:AI),"")</f>
        <v>0</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2367</v>
      </c>
      <c r="C6" s="1328"/>
      <c r="D6" s="1328"/>
      <c r="E6" s="1328"/>
      <c r="F6" s="1328"/>
      <c r="G6" s="1328"/>
      <c r="H6" s="1328"/>
      <c r="I6" s="1328"/>
      <c r="J6" s="1328"/>
      <c r="K6" s="1329"/>
      <c r="L6" s="633">
        <f>IFERROR(SUMIF(T:T, "令和６年度の算定予定", AK:AK),"")</f>
        <v>0</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2206</v>
      </c>
      <c r="AL6" s="635"/>
      <c r="AM6" s="535"/>
      <c r="AN6" s="635"/>
      <c r="AO6" s="636"/>
      <c r="AP6" s="524"/>
      <c r="AQ6" s="524"/>
      <c r="AR6" s="637"/>
      <c r="AS6" s="524"/>
      <c r="AT6" s="524"/>
      <c r="AU6" s="631"/>
      <c r="AY6" s="638" t="s">
        <v>2198</v>
      </c>
      <c r="AZ6" s="1351" t="str">
        <f>IF(OR(AZ7="旧処遇加算Ⅰ相当あり",AZ8="旧処遇加算Ⅰ相当あり"),"旧処遇加算Ⅰ相当あり","旧処遇加算Ⅰ相当なし")</f>
        <v>旧処遇加算Ⅰ相当なし</v>
      </c>
      <c r="BA6" s="1351"/>
      <c r="BB6" s="1351"/>
      <c r="BC6" s="1351" t="str">
        <f>IF(OR(BC7="旧処遇加算Ⅰ・Ⅱ相当あり",BC8="旧処遇加算Ⅰ・Ⅱ相当あり"),"旧処遇加算Ⅰ・Ⅱ相当あり","旧処遇加算Ⅰ・Ⅱ相当なし")</f>
        <v>旧処遇加算Ⅰ・Ⅱ相当なし</v>
      </c>
      <c r="BD6" s="1351"/>
      <c r="BE6" s="1351"/>
      <c r="BF6" s="1351" t="str">
        <f>IF(OR(BF7="旧特定加算相当あり",BF8="旧特定加算相当あり"),"旧特定加算相当あり","旧特定加算相当なし")</f>
        <v>旧特定加算相当なし</v>
      </c>
      <c r="BG6" s="1351"/>
      <c r="BH6" s="1351"/>
      <c r="BI6" s="1351" t="str">
        <f>IF(OR(BI7="旧特定加算Ⅰ相当あり",BI8="旧特定加算Ⅰ相当あり"),"旧特定加算Ⅰ相当あり","旧特定加算Ⅰ相当なし")</f>
        <v>旧特定加算Ⅰ相当なし</v>
      </c>
      <c r="BJ6" s="1351"/>
      <c r="BK6" s="1351"/>
    </row>
    <row r="7" spans="1:64" ht="35.25" customHeight="1">
      <c r="A7" s="632"/>
      <c r="B7" s="1517" t="s">
        <v>2368</v>
      </c>
      <c r="C7" s="1328"/>
      <c r="D7" s="1328"/>
      <c r="E7" s="1328"/>
      <c r="F7" s="1328"/>
      <c r="G7" s="1328"/>
      <c r="H7" s="1328"/>
      <c r="I7" s="1328"/>
      <c r="J7" s="1328"/>
      <c r="K7" s="1329"/>
      <c r="L7" s="633">
        <f>IFERROR(SUMIF(T:T, "令和６年度の算定予定", AM:AM),"")</f>
        <v>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2112</v>
      </c>
      <c r="AL7" s="1353"/>
      <c r="AM7" s="1353"/>
      <c r="AN7" s="1353"/>
      <c r="AO7" s="1353"/>
      <c r="AP7" s="1353"/>
      <c r="AQ7" s="1354"/>
      <c r="AR7" s="639">
        <f>SUMIF(T:T,"令和６年度の算定予定",AR:AR)</f>
        <v>0</v>
      </c>
      <c r="AS7" s="537"/>
      <c r="AT7" s="537"/>
      <c r="AY7" s="638" t="s">
        <v>2197</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1"/>
      <c r="BK7" s="1351"/>
    </row>
    <row r="8" spans="1:64" ht="35.25" customHeight="1" thickBot="1">
      <c r="A8" s="640"/>
      <c r="B8" s="1517" t="s">
        <v>2369</v>
      </c>
      <c r="C8" s="1328"/>
      <c r="D8" s="1328"/>
      <c r="E8" s="1328"/>
      <c r="F8" s="1328"/>
      <c r="G8" s="1328"/>
      <c r="H8" s="1328"/>
      <c r="I8" s="1328"/>
      <c r="J8" s="1328"/>
      <c r="K8" s="1329"/>
      <c r="L8" s="641">
        <f>IFERROR(SUMIF(T:T, "令和６年度の算定予定", AJ:AJ),"")</f>
        <v>0</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2325</v>
      </c>
      <c r="AL8" s="1353"/>
      <c r="AM8" s="1353"/>
      <c r="AN8" s="1353"/>
      <c r="AO8" s="1353"/>
      <c r="AP8" s="1353"/>
      <c r="AQ8" s="1354"/>
      <c r="AR8" s="645">
        <f>SUM(BJ:BJ)</f>
        <v>0</v>
      </c>
      <c r="AS8" s="537"/>
      <c r="AT8" s="537"/>
      <c r="AY8" s="638" t="s">
        <v>2341</v>
      </c>
      <c r="AZ8" s="1351" t="str">
        <f>'別紙様式2-4（年度内の区分変更がある場合に記入）'!AV7</f>
        <v>旧処遇加算Ⅰ相当なし</v>
      </c>
      <c r="BA8" s="1351"/>
      <c r="BB8" s="1351"/>
      <c r="BC8" s="1351" t="str">
        <f>'別紙様式2-4（年度内の区分変更がある場合に記入）'!AX7</f>
        <v>旧処遇加算Ⅰ・Ⅱ相当なし</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2221</v>
      </c>
      <c r="B9" s="1519"/>
      <c r="C9" s="1519"/>
      <c r="D9" s="1519"/>
      <c r="E9" s="1519"/>
      <c r="F9" s="1519"/>
      <c r="G9" s="1519"/>
      <c r="H9" s="1519"/>
      <c r="I9" s="1519"/>
      <c r="J9" s="1519"/>
      <c r="K9" s="1520"/>
      <c r="L9" s="646">
        <f>IFERROR(SUMIF(T:T, "（参考）令和７年度の移行予定", AJ:AJ),"")</f>
        <v>0</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3" t="s">
        <v>2372</v>
      </c>
      <c r="B10" s="1293"/>
      <c r="C10" s="1293"/>
      <c r="D10" s="1293"/>
      <c r="E10" s="1293"/>
      <c r="F10" s="1293"/>
      <c r="G10" s="1293"/>
      <c r="H10" s="1293"/>
      <c r="I10" s="1293"/>
      <c r="J10" s="1293"/>
      <c r="K10" s="1293"/>
      <c r="L10" s="129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4"/>
      <c r="B11" s="1294"/>
      <c r="C11" s="1294"/>
      <c r="D11" s="1294"/>
      <c r="E11" s="1294"/>
      <c r="F11" s="1294"/>
      <c r="G11" s="1294"/>
      <c r="H11" s="1294"/>
      <c r="I11" s="1294"/>
      <c r="J11" s="1294"/>
      <c r="K11" s="1294"/>
      <c r="L11" s="129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
      </c>
      <c r="AS11" s="652" t="str">
        <f>IF(BI7="旧特定加算Ⅰ相当なし","",IF(COUNTIF(BK:BK,"未入力")=0,"○","未入力あり"))</f>
        <v/>
      </c>
      <c r="AT11" s="653" t="s">
        <v>2205</v>
      </c>
      <c r="AV11" s="654"/>
      <c r="AW11" s="654"/>
      <c r="AX11" s="175"/>
      <c r="AY11" s="175"/>
      <c r="AZ11" s="175"/>
      <c r="BA11" s="175"/>
      <c r="BB11" s="175"/>
      <c r="BC11" s="175"/>
      <c r="BD11" s="175"/>
    </row>
    <row r="12" spans="1:64" ht="53.25" customHeight="1">
      <c r="A12" s="1469"/>
      <c r="B12" s="1279" t="s">
        <v>2328</v>
      </c>
      <c r="C12" s="1280"/>
      <c r="D12" s="1280"/>
      <c r="E12" s="1280"/>
      <c r="F12" s="1281"/>
      <c r="G12" s="1285" t="s">
        <v>63</v>
      </c>
      <c r="H12" s="1297" t="s">
        <v>88</v>
      </c>
      <c r="I12" s="1297"/>
      <c r="J12" s="1287" t="s">
        <v>69</v>
      </c>
      <c r="K12" s="1289" t="s">
        <v>40</v>
      </c>
      <c r="L12" s="1291" t="s">
        <v>2176</v>
      </c>
      <c r="M12" s="1295" t="s">
        <v>67</v>
      </c>
      <c r="N12" s="1248" t="s">
        <v>2268</v>
      </c>
      <c r="O12" s="1249" t="s">
        <v>2167</v>
      </c>
      <c r="P12" s="1491" t="s">
        <v>2334</v>
      </c>
      <c r="Q12" s="1492"/>
      <c r="R12" s="1493"/>
      <c r="S12" s="1502" t="s">
        <v>2113</v>
      </c>
      <c r="T12" s="1522" t="s">
        <v>2168</v>
      </c>
      <c r="U12" s="1523"/>
      <c r="V12" s="1249" t="s">
        <v>177</v>
      </c>
      <c r="W12" s="1471" t="s">
        <v>2298</v>
      </c>
      <c r="X12" s="1484"/>
      <c r="Y12" s="1484"/>
      <c r="Z12" s="1484"/>
      <c r="AA12" s="1484"/>
      <c r="AB12" s="1484"/>
      <c r="AC12" s="1484"/>
      <c r="AD12" s="1484"/>
      <c r="AE12" s="1484"/>
      <c r="AF12" s="1484"/>
      <c r="AG12" s="1484"/>
      <c r="AH12" s="1485"/>
      <c r="AI12" s="1471" t="s">
        <v>2169</v>
      </c>
      <c r="AJ12" s="1504" t="s">
        <v>2331</v>
      </c>
      <c r="AK12" s="1506" t="s">
        <v>2194</v>
      </c>
      <c r="AL12" s="1507"/>
      <c r="AM12" s="1358" t="s">
        <v>2177</v>
      </c>
      <c r="AN12" s="1254"/>
      <c r="AO12" s="1253" t="s">
        <v>241</v>
      </c>
      <c r="AP12" s="1254"/>
      <c r="AQ12" s="543" t="s">
        <v>235</v>
      </c>
      <c r="AR12" s="543" t="s">
        <v>239</v>
      </c>
      <c r="AS12" s="544" t="s">
        <v>240</v>
      </c>
      <c r="AT12" s="1526" t="s">
        <v>2327</v>
      </c>
      <c r="AU12" s="554"/>
      <c r="AV12" s="1521" t="s">
        <v>2326</v>
      </c>
      <c r="AW12" s="1521"/>
      <c r="BL12" s="1332" t="s">
        <v>2360</v>
      </c>
    </row>
    <row r="13" spans="1:64" ht="159.75" customHeight="1" thickBot="1">
      <c r="A13" s="1470"/>
      <c r="B13" s="1282"/>
      <c r="C13" s="1283"/>
      <c r="D13" s="1283"/>
      <c r="E13" s="1283"/>
      <c r="F13" s="1284"/>
      <c r="G13" s="1286"/>
      <c r="H13" s="545" t="s">
        <v>2329</v>
      </c>
      <c r="I13" s="545" t="s">
        <v>2330</v>
      </c>
      <c r="J13" s="1288"/>
      <c r="K13" s="1290"/>
      <c r="L13" s="1292"/>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2356</v>
      </c>
      <c r="AL13" s="550" t="s">
        <v>2191</v>
      </c>
      <c r="AM13" s="550" t="s">
        <v>2174</v>
      </c>
      <c r="AN13" s="551" t="s">
        <v>2192</v>
      </c>
      <c r="AO13" s="551" t="s">
        <v>2332</v>
      </c>
      <c r="AP13" s="550" t="s">
        <v>2333</v>
      </c>
      <c r="AQ13" s="552" t="s">
        <v>234</v>
      </c>
      <c r="AR13" s="552" t="s">
        <v>2343</v>
      </c>
      <c r="AS13" s="688" t="s">
        <v>2337</v>
      </c>
      <c r="AT13" s="1331"/>
      <c r="AU13" s="656"/>
      <c r="AV13" s="555" t="s">
        <v>2187</v>
      </c>
      <c r="AW13" s="657" t="s">
        <v>2214</v>
      </c>
      <c r="AX13" s="658" t="s">
        <v>2215</v>
      </c>
      <c r="AY13" s="555" t="s">
        <v>2181</v>
      </c>
      <c r="AZ13" s="1335" t="s">
        <v>2196</v>
      </c>
      <c r="BA13" s="1335"/>
      <c r="BB13" s="1335"/>
      <c r="BC13" s="1335"/>
      <c r="BD13" s="1335"/>
      <c r="BE13" s="1335"/>
      <c r="BF13" s="555" t="s">
        <v>2195</v>
      </c>
      <c r="BG13" s="555" t="s">
        <v>2182</v>
      </c>
      <c r="BH13" s="555" t="s">
        <v>2183</v>
      </c>
      <c r="BI13" s="555" t="s">
        <v>2184</v>
      </c>
      <c r="BJ13" s="558" t="s">
        <v>2185</v>
      </c>
      <c r="BK13" s="558" t="s">
        <v>2186</v>
      </c>
      <c r="BL13" s="1515"/>
    </row>
    <row r="14" spans="1:64" ht="30" customHeight="1">
      <c r="A14" s="131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442" t="str">
        <f>IF(基本情報入力シート!X54="","",基本情報入力シート!X54)</f>
        <v/>
      </c>
      <c r="K14" s="1267" t="str">
        <f>IF(基本情報入力シート!Y54="","",基本情報入力シート!Y54)</f>
        <v/>
      </c>
      <c r="L14" s="1465" t="str">
        <f>IF(基本情報入力シート!AB54="","",基本情報入力シート!AB54)</f>
        <v/>
      </c>
      <c r="M14" s="1462" t="str">
        <f>IF(基本情報入力シート!AC54="","",基本情報入力シート!AC54)</f>
        <v/>
      </c>
      <c r="N14" s="659" t="str">
        <f>IF('別紙様式2-2（４・５月分）'!Q14="","",'別紙様式2-2（４・５月分）'!Q14)</f>
        <v/>
      </c>
      <c r="O14" s="1498" t="str">
        <f>IF(SUM('別紙様式2-2（４・５月分）'!R14:R16)=0,"",SUM('別紙様式2-2（４・５月分）'!R14:R16))</f>
        <v/>
      </c>
      <c r="P14" s="1423" t="str">
        <f>IFERROR(VLOOKUP('別紙様式2-2（４・５月分）'!AR14,【参考】数式用!$AT$5:$AU$22,2,FALSE),"")</f>
        <v/>
      </c>
      <c r="Q14" s="1424"/>
      <c r="R14" s="1425"/>
      <c r="S14" s="1473" t="str">
        <f>IFERROR(VLOOKUP(K14,【参考】数式用!$A$5:$AB$27,MATCH(P14,【参考】数式用!$B$4:$AB$4,0)+1,0),"")</f>
        <v/>
      </c>
      <c r="T14" s="1431" t="s">
        <v>2173</v>
      </c>
      <c r="U14" s="1433"/>
      <c r="V14" s="1511" t="str">
        <f>IFERROR(VLOOKUP(K14,【参考】数式用!$A$5:$AB$27,MATCH(U14,【参考】数式用!$B$4:$AB$4,0)+1,0),"")</f>
        <v/>
      </c>
      <c r="W14" s="1437" t="s">
        <v>19</v>
      </c>
      <c r="X14" s="1375">
        <v>6</v>
      </c>
      <c r="Y14" s="1377" t="s">
        <v>10</v>
      </c>
      <c r="Z14" s="1375">
        <v>6</v>
      </c>
      <c r="AA14" s="1377" t="s">
        <v>45</v>
      </c>
      <c r="AB14" s="1375">
        <v>7</v>
      </c>
      <c r="AC14" s="1377" t="s">
        <v>10</v>
      </c>
      <c r="AD14" s="1375">
        <v>3</v>
      </c>
      <c r="AE14" s="1377" t="s">
        <v>13</v>
      </c>
      <c r="AF14" s="1377" t="s">
        <v>24</v>
      </c>
      <c r="AG14" s="1377">
        <f>IF(X14&gt;=1,(AB14*12+AD14)-(X14*12+Z14)+1,"")</f>
        <v>10</v>
      </c>
      <c r="AH14" s="1379" t="s">
        <v>38</v>
      </c>
      <c r="AI14" s="1513" t="str">
        <f>IFERROR(ROUNDDOWN(ROUND(L14*V14,0)*M14,0)*AG14,"")</f>
        <v/>
      </c>
      <c r="AJ14" s="1481" t="str">
        <f>IFERROR(ROUNDDOWN(ROUND((L14*(V14-AX14)),0)*M14,0)*AG14,"")</f>
        <v/>
      </c>
      <c r="AK14" s="1385">
        <f>IFERROR(IF(OR(N14="",N15="",N17=""),0,ROUNDDOWN(ROUNDDOWN(ROUND(L14*VLOOKUP(K14,【参考】数式用!$A$5:$AB$27,MATCH("新加算Ⅳ",【参考】数式用!$B$4:$AB$4,0)+1,0),0)*M14,0)*AG14*0.5,0)),"")</f>
        <v>0</v>
      </c>
      <c r="AL14" s="1363"/>
      <c r="AM14" s="1387">
        <f>IFERROR(IF(OR(N17="ベア加算",N17=""),0, IF(OR(U14="新加算Ⅰ",U14="新加算Ⅱ",U14="新加算Ⅲ",U14="新加算Ⅳ"),ROUNDDOWN(ROUND(L14*VLOOKUP(K14,【参考】数式用!$A$5:$I$27,MATCH("ベア加算",【参考】数式用!$B$4:$I$4,0)+1,0),0)*M14,0)*AG14,0)),"")</f>
        <v>0</v>
      </c>
      <c r="AN14" s="1359"/>
      <c r="AO14" s="1389"/>
      <c r="AP14" s="1393"/>
      <c r="AQ14" s="1393"/>
      <c r="AR14" s="1395"/>
      <c r="AS14" s="1347"/>
      <c r="AT14" s="568" t="str">
        <f>IF(AV14="","",IF(V14&lt;O14,"！加算の要件上は問題ありませんが、令和６年４・５月と比較して令和６年６月に加算率が下がる計画になっています。",""))</f>
        <v/>
      </c>
      <c r="AU14" s="660"/>
      <c r="AV14" s="1335" t="str">
        <f>IF(K14&lt;&gt;"","V列に色付け","")</f>
        <v/>
      </c>
      <c r="AW14" s="661" t="str">
        <f>IF('別紙様式2-2（４・５月分）'!O14="","",'別紙様式2-2（４・５月分）'!O14)</f>
        <v/>
      </c>
      <c r="AX14" s="1337" t="str">
        <f>IF(SUM('別紙様式2-2（４・５月分）'!P14:P16)=0,"",SUM('別紙様式2-2（４・５月分）'!P14:P16))</f>
        <v/>
      </c>
      <c r="AY14" s="1338" t="str">
        <f>IFERROR(VLOOKUP(K14,【参考】数式用!$AJ$2:$AK$24,2,FALSE),"")</f>
        <v/>
      </c>
      <c r="AZ14" s="1247" t="s">
        <v>2098</v>
      </c>
      <c r="BA14" s="1247" t="s">
        <v>2099</v>
      </c>
      <c r="BB14" s="1247" t="s">
        <v>2100</v>
      </c>
      <c r="BC14" s="1247" t="s">
        <v>2101</v>
      </c>
      <c r="BD14" s="1247" t="str">
        <f>IF(AND(P14&lt;&gt;"新加算Ⅰ",P14&lt;&gt;"新加算Ⅱ",P14&lt;&gt;"新加算Ⅲ",P14&lt;&gt;"新加算Ⅳ"),P14,IF(Q16&lt;&gt;"",Q16,""))</f>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
      </c>
      <c r="BJ14" s="135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5" t="str">
        <f>IF(OR(U14="新加算Ⅰ",U14="新加算Ⅴ（１）",U14="新加算Ⅴ（２）",U14="新加算Ⅴ（５）",U14="新加算Ⅴ（７）",U14="新加算Ⅴ（10）"),IF(AS14="","未入力","入力済"),"")</f>
        <v/>
      </c>
      <c r="BL14" s="555" t="str">
        <f>G14</f>
        <v/>
      </c>
    </row>
    <row r="15" spans="1:64" ht="15" customHeight="1">
      <c r="A15" s="1315"/>
      <c r="B15" s="1301"/>
      <c r="C15" s="1302"/>
      <c r="D15" s="1302"/>
      <c r="E15" s="1302"/>
      <c r="F15" s="1303"/>
      <c r="G15" s="1268"/>
      <c r="H15" s="1268"/>
      <c r="I15" s="1268"/>
      <c r="J15" s="1443"/>
      <c r="K15" s="1268"/>
      <c r="L15" s="1454"/>
      <c r="M15" s="1463"/>
      <c r="N15" s="1399" t="str">
        <f>IF('別紙様式2-2（４・５月分）'!Q15="","",'別紙様式2-2（４・５月分）'!Q15)</f>
        <v/>
      </c>
      <c r="O15" s="1499"/>
      <c r="P15" s="1426"/>
      <c r="Q15" s="1427"/>
      <c r="R15" s="1428"/>
      <c r="S15" s="1474"/>
      <c r="T15" s="1432"/>
      <c r="U15" s="1434"/>
      <c r="V15" s="1512"/>
      <c r="W15" s="1438"/>
      <c r="X15" s="1376"/>
      <c r="Y15" s="1378"/>
      <c r="Z15" s="1376"/>
      <c r="AA15" s="1378"/>
      <c r="AB15" s="1376"/>
      <c r="AC15" s="1378"/>
      <c r="AD15" s="1376"/>
      <c r="AE15" s="1378"/>
      <c r="AF15" s="1378"/>
      <c r="AG15" s="1378"/>
      <c r="AH15" s="1380"/>
      <c r="AI15" s="1514"/>
      <c r="AJ15" s="1482"/>
      <c r="AK15" s="1386"/>
      <c r="AL15" s="1364"/>
      <c r="AM15" s="138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
      </c>
      <c r="AX15" s="1337"/>
      <c r="AY15" s="1338"/>
      <c r="AZ15" s="1247"/>
      <c r="BA15" s="1247"/>
      <c r="BB15" s="1247"/>
      <c r="BC15" s="1247"/>
      <c r="BD15" s="1247"/>
      <c r="BE15" s="1247"/>
      <c r="BF15" s="1247"/>
      <c r="BG15" s="1247"/>
      <c r="BH15" s="1247"/>
      <c r="BI15" s="1247"/>
      <c r="BJ15" s="1355"/>
      <c r="BK15" s="1335"/>
      <c r="BL15" s="555" t="str">
        <f>G14</f>
        <v/>
      </c>
    </row>
    <row r="16" spans="1:64" ht="15" customHeight="1">
      <c r="A16" s="1326"/>
      <c r="B16" s="1301"/>
      <c r="C16" s="1302"/>
      <c r="D16" s="1302"/>
      <c r="E16" s="1302"/>
      <c r="F16" s="1303"/>
      <c r="G16" s="1268"/>
      <c r="H16" s="1268"/>
      <c r="I16" s="1268"/>
      <c r="J16" s="1443"/>
      <c r="K16" s="1268"/>
      <c r="L16" s="1454"/>
      <c r="M16" s="1463"/>
      <c r="N16" s="1400"/>
      <c r="O16" s="1500"/>
      <c r="P16" s="1479" t="s">
        <v>2179</v>
      </c>
      <c r="Q16" s="1403" t="str">
        <f>IFERROR(VLOOKUP('別紙様式2-2（４・５月分）'!AR14,【参考】数式用!$AT$5:$AV$22,3,FALSE),"")</f>
        <v/>
      </c>
      <c r="R16" s="1477" t="s">
        <v>2190</v>
      </c>
      <c r="S16" s="1475" t="str">
        <f>IFERROR(VLOOKUP(K14,【参考】数式用!$A$5:$AB$27,MATCH(Q16,【参考】数式用!$B$4:$AB$4,0)+1,0),"")</f>
        <v/>
      </c>
      <c r="T16" s="1409" t="s">
        <v>217</v>
      </c>
      <c r="U16" s="1411"/>
      <c r="V16" s="1466" t="str">
        <f>IFERROR(VLOOKUP(K14,【参考】数式用!$A$5:$AB$27,MATCH(U16,【参考】数式用!$B$4:$AB$4,0)+1,0),"")</f>
        <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5" t="s">
        <v>38</v>
      </c>
      <c r="AI16" s="1489" t="str">
        <f>IFERROR(ROUNDDOWN(ROUND(L14*V16,0)*M14,0)*AG16,"")</f>
        <v/>
      </c>
      <c r="AJ16" s="1452" t="str">
        <f>IFERROR(ROUNDDOWN(ROUND((L14*(V16-AX14)),0)*M14,0)*AG16,"")</f>
        <v/>
      </c>
      <c r="AK16" s="1371">
        <f>IFERROR(IF(OR(N14="",N15="",N17=""),0,ROUNDDOWN(ROUNDDOWN(ROUND(L14*VLOOKUP(K14,【参考】数式用!$A$5:$AB$27,MATCH("新加算Ⅳ",【参考】数式用!$B$4:$AB$4,0)+1,0),0)*M14,0)*AG16*0.5,0)),"")</f>
        <v>0</v>
      </c>
      <c r="AL16" s="1361" t="str">
        <f>IF(U16&lt;&gt;"","新規に適用","")</f>
        <v/>
      </c>
      <c r="AM16" s="1373">
        <f>IFERROR(IF(OR(N17="ベア加算",N17=""),0, IF(OR(U14="新加算Ⅰ",U14="新加算Ⅱ",U14="新加算Ⅲ",U14="新加算Ⅳ"),0,ROUNDDOWN(ROUND(L14*VLOOKUP(K14,【参考】数式用!$A$5:$I$27,MATCH("ベア加算",【参考】数式用!$B$4:$I$4,0)+1,0),0)*M14,0)*AG16)),"")</f>
        <v>0</v>
      </c>
      <c r="AN16" s="1345" t="str">
        <f>IF(AND(U16&lt;&gt;"",AN14=""),"新規に適用",IF(AND(U16&lt;&gt;"",AN14&lt;&gt;""),"継続で適用",""))</f>
        <v/>
      </c>
      <c r="AO16" s="1345" t="str">
        <f>IF(AND(U16&lt;&gt;"",AO14=""),"新規に適用",IF(AND(U16&lt;&gt;"",AO14&lt;&gt;""),"継続で適用",""))</f>
        <v/>
      </c>
      <c r="AP16" s="1391"/>
      <c r="AQ16" s="1345" t="str">
        <f>IF(AND(U16&lt;&gt;"",AQ14=""),"新規に適用",IF(AND(U16&lt;&gt;"",AQ14&lt;&gt;""),"継続で適用",""))</f>
        <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8" t="str">
        <f>IF(AND(U16&lt;&gt;"",AS14=""),"新規に適用",IF(AND(U16&lt;&gt;"",AS14&lt;&gt;""),"継続で適用",""))</f>
        <v/>
      </c>
      <c r="AT16" s="1334"/>
      <c r="AU16" s="660"/>
      <c r="AV16" s="1335" t="str">
        <f>IF(K14&lt;&gt;"","V列に色付け","")</f>
        <v/>
      </c>
      <c r="AW16" s="1344"/>
      <c r="AX16" s="1337"/>
      <c r="AY16" s="175"/>
      <c r="AZ16" s="175"/>
      <c r="BA16" s="175"/>
      <c r="BB16" s="175"/>
      <c r="BC16" s="175"/>
      <c r="BD16" s="175"/>
      <c r="BE16" s="175"/>
      <c r="BF16" s="175"/>
      <c r="BG16" s="175"/>
      <c r="BH16" s="175"/>
      <c r="BI16" s="175"/>
      <c r="BJ16" s="175"/>
      <c r="BK16" s="175"/>
      <c r="BL16" s="555" t="str">
        <f>G14</f>
        <v/>
      </c>
    </row>
    <row r="17" spans="1:64" ht="30" customHeight="1" thickBot="1">
      <c r="A17" s="1316"/>
      <c r="B17" s="1439"/>
      <c r="C17" s="1440"/>
      <c r="D17" s="1440"/>
      <c r="E17" s="1440"/>
      <c r="F17" s="1441"/>
      <c r="G17" s="1269"/>
      <c r="H17" s="1269"/>
      <c r="I17" s="1269"/>
      <c r="J17" s="1444"/>
      <c r="K17" s="1269"/>
      <c r="L17" s="1455"/>
      <c r="M17" s="1464"/>
      <c r="N17" s="662" t="str">
        <f>IF('別紙様式2-2（４・５月分）'!Q16="","",'別紙様式2-2（４・５月分）'!Q16)</f>
        <v/>
      </c>
      <c r="O17" s="1501"/>
      <c r="P17" s="1480"/>
      <c r="Q17" s="1404"/>
      <c r="R17" s="1478"/>
      <c r="S17" s="1476"/>
      <c r="T17" s="1410"/>
      <c r="U17" s="1412"/>
      <c r="V17" s="1467"/>
      <c r="W17" s="1416"/>
      <c r="X17" s="1451"/>
      <c r="Y17" s="1398"/>
      <c r="Z17" s="1451"/>
      <c r="AA17" s="1398"/>
      <c r="AB17" s="1451"/>
      <c r="AC17" s="1398"/>
      <c r="AD17" s="1451"/>
      <c r="AE17" s="1398"/>
      <c r="AF17" s="1398"/>
      <c r="AG17" s="1398"/>
      <c r="AH17" s="1366"/>
      <c r="AI17" s="1490"/>
      <c r="AJ17" s="1453"/>
      <c r="AK17" s="1372"/>
      <c r="AL17" s="1362"/>
      <c r="AM17" s="1374"/>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
      </c>
      <c r="AX17" s="1337"/>
      <c r="AY17" s="175"/>
      <c r="AZ17" s="175"/>
      <c r="BA17" s="175"/>
      <c r="BB17" s="175"/>
      <c r="BC17" s="175"/>
      <c r="BD17" s="175"/>
      <c r="BE17" s="175"/>
      <c r="BF17" s="175"/>
      <c r="BG17" s="175"/>
      <c r="BH17" s="175"/>
      <c r="BI17" s="175"/>
      <c r="BJ17" s="175"/>
      <c r="BK17" s="175"/>
      <c r="BL17" s="555" t="str">
        <f>G14</f>
        <v/>
      </c>
    </row>
    <row r="18" spans="1:64" ht="30" customHeight="1">
      <c r="A18" s="1325">
        <v>2</v>
      </c>
      <c r="B18" s="1301" t="str">
        <f>IF(基本情報入力シート!C55="","",基本情報入力シート!C55)</f>
        <v/>
      </c>
      <c r="C18" s="1302"/>
      <c r="D18" s="1302"/>
      <c r="E18" s="1302"/>
      <c r="F18" s="1303"/>
      <c r="G18" s="1268" t="str">
        <f>IF(基本情報入力シート!M55="","",基本情報入力シート!M55)</f>
        <v/>
      </c>
      <c r="H18" s="1268" t="str">
        <f>IF(基本情報入力シート!R55="","",基本情報入力シート!R55)</f>
        <v/>
      </c>
      <c r="I18" s="1268" t="str">
        <f>IF(基本情報入力シート!W55="","",基本情報入力シート!W55)</f>
        <v/>
      </c>
      <c r="J18" s="1443"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2173</v>
      </c>
      <c r="U18" s="1433"/>
      <c r="V18" s="1435" t="str">
        <f>IFERROR(VLOOKUP(K18,【参考】数式用!$A$5:$AB$27,MATCH(U18,【参考】数式用!$B$4:$AB$4,0)+1,0),"")</f>
        <v/>
      </c>
      <c r="W18" s="1437" t="s">
        <v>19</v>
      </c>
      <c r="X18" s="1375">
        <v>6</v>
      </c>
      <c r="Y18" s="1377" t="s">
        <v>10</v>
      </c>
      <c r="Z18" s="1375">
        <v>6</v>
      </c>
      <c r="AA18" s="1377" t="s">
        <v>45</v>
      </c>
      <c r="AB18" s="1375">
        <v>7</v>
      </c>
      <c r="AC18" s="1377" t="s">
        <v>10</v>
      </c>
      <c r="AD18" s="1375">
        <v>3</v>
      </c>
      <c r="AE18" s="1377" t="s">
        <v>13</v>
      </c>
      <c r="AF18" s="1377" t="s">
        <v>24</v>
      </c>
      <c r="AG18" s="1377">
        <f>IF(X18&gt;=1,(AB18*12+AD18)-(X18*12+Z18)+1,"")</f>
        <v>10</v>
      </c>
      <c r="AH18" s="1379" t="s">
        <v>38</v>
      </c>
      <c r="AI18" s="1381" t="str">
        <f>IFERROR(ROUNDDOWN(ROUND(L18*V18,0)*M18,0)*AG18,"")</f>
        <v/>
      </c>
      <c r="AJ18" s="1383" t="str">
        <f>IFERROR(ROUNDDOWN(ROUND((L18*(V18-AX18)),0)*M18,0)*AG18,"")</f>
        <v/>
      </c>
      <c r="AK18" s="1385">
        <f>IFERROR(IF(OR(N18="",N19="",N21=""),0,ROUNDDOWN(ROUNDDOWN(ROUND(L18*VLOOKUP(K18,【参考】数式用!$A$5:$AB$27,MATCH("新加算Ⅳ",【参考】数式用!$B$4:$AB$4,0)+1,0),0)*M18,0)*AG18*0.5,0)),"")</f>
        <v>0</v>
      </c>
      <c r="AL18" s="1363"/>
      <c r="AM18" s="1387">
        <f>IFERROR(IF(OR(N21="ベア加算",N21=""),0, IF(OR(U18="新加算Ⅰ",U18="新加算Ⅱ",U18="新加算Ⅲ",U18="新加算Ⅳ"),ROUNDDOWN(ROUND(L18*VLOOKUP(K18,【参考】数式用!$A$5:$I$27,MATCH("ベア加算",【参考】数式用!$B$4:$I$4,0)+1,0),0)*M18,0)*AG18,0)),"")</f>
        <v>0</v>
      </c>
      <c r="AN18" s="1359"/>
      <c r="AO18" s="1389"/>
      <c r="AP18" s="1393"/>
      <c r="AQ18" s="1393"/>
      <c r="AR18" s="1395"/>
      <c r="AS18" s="1347"/>
      <c r="AT18" s="568" t="str">
        <f t="shared" ref="AT18:AT78" si="0">IF(AV18="","",IF(V18&lt;O18,"！加算の要件上は問題ありませんが、令和６年４・５月と比較して令和６年６月に加算率が下がる計画になっています。",""))</f>
        <v/>
      </c>
      <c r="AU18" s="663"/>
      <c r="AV18" s="1335" t="str">
        <f>IF(K18&lt;&gt;"","V列に色付け","")</f>
        <v/>
      </c>
      <c r="AW18" s="661" t="str">
        <f>IF('別紙様式2-2（４・５月分）'!O17="","",'別紙様式2-2（４・５月分）'!O17)</f>
        <v/>
      </c>
      <c r="AX18" s="1337" t="str">
        <f>IF(SUM('別紙様式2-2（４・５月分）'!P17:P19)=0,"",SUM('別紙様式2-2（４・５月分）'!P17:P19))</f>
        <v/>
      </c>
      <c r="AY18" s="1338" t="str">
        <f>IFERROR(VLOOKUP(K18,【参考】数式用!$AJ$2:$AK$24,2,FALSE),"")</f>
        <v/>
      </c>
      <c r="AZ18" s="1247" t="s">
        <v>2098</v>
      </c>
      <c r="BA18" s="1247" t="s">
        <v>2099</v>
      </c>
      <c r="BB18" s="1247" t="s">
        <v>2100</v>
      </c>
      <c r="BC18" s="1247" t="s">
        <v>2101</v>
      </c>
      <c r="BD18" s="1247" t="str">
        <f>IF(AND(P18&lt;&gt;"新加算Ⅰ",P18&lt;&gt;"新加算Ⅱ",P18&lt;&gt;"新加算Ⅲ",P18&lt;&gt;"新加算Ⅳ"),P18,IF(Q20&lt;&gt;"",Q20,""))</f>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
      </c>
      <c r="BL18" s="555" t="str">
        <f>G18</f>
        <v/>
      </c>
    </row>
    <row r="19" spans="1:64" ht="15" customHeight="1">
      <c r="A19" s="1315"/>
      <c r="B19" s="1301"/>
      <c r="C19" s="1302"/>
      <c r="D19" s="1302"/>
      <c r="E19" s="1302"/>
      <c r="F19" s="1303"/>
      <c r="G19" s="1268"/>
      <c r="H19" s="1268"/>
      <c r="I19" s="1268"/>
      <c r="J19" s="1443"/>
      <c r="K19" s="1268"/>
      <c r="L19" s="1454"/>
      <c r="M19" s="1456"/>
      <c r="N19" s="1399" t="str">
        <f>IF('別紙様式2-2（４・５月分）'!Q18="","",'別紙様式2-2（４・５月分）'!Q18)</f>
        <v/>
      </c>
      <c r="O19" s="1420"/>
      <c r="P19" s="1426"/>
      <c r="Q19" s="1427"/>
      <c r="R19" s="1428"/>
      <c r="S19" s="1430"/>
      <c r="T19" s="1432"/>
      <c r="U19" s="1434"/>
      <c r="V19" s="1436"/>
      <c r="W19" s="1438"/>
      <c r="X19" s="1376"/>
      <c r="Y19" s="1378"/>
      <c r="Z19" s="1376"/>
      <c r="AA19" s="1378"/>
      <c r="AB19" s="1376"/>
      <c r="AC19" s="1378"/>
      <c r="AD19" s="1376"/>
      <c r="AE19" s="1378"/>
      <c r="AF19" s="1378"/>
      <c r="AG19" s="1378"/>
      <c r="AH19" s="1380"/>
      <c r="AI19" s="1382"/>
      <c r="AJ19" s="1384"/>
      <c r="AK19" s="1386"/>
      <c r="AL19" s="1364"/>
      <c r="AM19" s="138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
      </c>
      <c r="AX19" s="1337"/>
      <c r="AY19" s="1338"/>
      <c r="AZ19" s="1247"/>
      <c r="BA19" s="1247"/>
      <c r="BB19" s="1247"/>
      <c r="BC19" s="1247"/>
      <c r="BD19" s="1247"/>
      <c r="BE19" s="1247"/>
      <c r="BF19" s="1247"/>
      <c r="BG19" s="1247"/>
      <c r="BH19" s="1247"/>
      <c r="BI19" s="1247"/>
      <c r="BJ19" s="1355"/>
      <c r="BK19" s="1335"/>
      <c r="BL19" s="555" t="str">
        <f>G18</f>
        <v/>
      </c>
    </row>
    <row r="20" spans="1:64" ht="15" customHeight="1">
      <c r="A20" s="1326"/>
      <c r="B20" s="1301"/>
      <c r="C20" s="1302"/>
      <c r="D20" s="1302"/>
      <c r="E20" s="1302"/>
      <c r="F20" s="1303"/>
      <c r="G20" s="1268"/>
      <c r="H20" s="1268"/>
      <c r="I20" s="1268"/>
      <c r="J20" s="1443"/>
      <c r="K20" s="1268"/>
      <c r="L20" s="1454"/>
      <c r="M20" s="1456"/>
      <c r="N20" s="1400"/>
      <c r="O20" s="1421"/>
      <c r="P20" s="1479" t="s">
        <v>2179</v>
      </c>
      <c r="Q20" s="1403" t="str">
        <f>IFERROR(VLOOKUP('別紙様式2-2（４・５月分）'!AR17,【参考】数式用!$AT$5:$AV$22,3,FALSE),"")</f>
        <v/>
      </c>
      <c r="R20" s="1477" t="s">
        <v>2190</v>
      </c>
      <c r="S20" s="1447" t="str">
        <f>IFERROR(VLOOKUP(K18,【参考】数式用!$A$5:$AB$27,MATCH(Q20,【参考】数式用!$B$4:$AB$4,0)+1,0),"")</f>
        <v/>
      </c>
      <c r="T20" s="1409" t="s">
        <v>217</v>
      </c>
      <c r="U20" s="1411"/>
      <c r="V20" s="1413" t="str">
        <f>IFERROR(VLOOKUP(K18,【参考】数式用!$A$5:$AB$27,MATCH(U20,【参考】数式用!$B$4:$AB$4,0)+1,0),"")</f>
        <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5" t="s">
        <v>38</v>
      </c>
      <c r="AI20" s="1367" t="str">
        <f>IFERROR(ROUNDDOWN(ROUND(L18*V20,0)*M18,0)*AG20,"")</f>
        <v/>
      </c>
      <c r="AJ20" s="1452" t="str">
        <f>IFERROR(ROUNDDOWN(ROUND((L18*(V20-AX18)),0)*M18,0)*AG20,"")</f>
        <v/>
      </c>
      <c r="AK20" s="1371">
        <f>IFERROR(IF(OR(N18="",N19="",N21=""),0,ROUNDDOWN(ROUNDDOWN(ROUND(L18*VLOOKUP(K18,【参考】数式用!$A$5:$AB$27,MATCH("新加算Ⅳ",【参考】数式用!$B$4:$AB$4,0)+1,0),0)*M18,0)*AG20*0.5,0)),"")</f>
        <v>0</v>
      </c>
      <c r="AL20" s="1361" t="str">
        <f>IF(U20&lt;&gt;"","新規に適用","")</f>
        <v/>
      </c>
      <c r="AM20" s="1373">
        <f>IFERROR(IF(OR(N21="ベア加算",N21=""),0, IF(OR(U18="新加算Ⅰ",U18="新加算Ⅱ",U18="新加算Ⅲ",U18="新加算Ⅳ"),0,ROUNDDOWN(ROUND(L18*VLOOKUP(K18,【参考】数式用!$A$5:$I$27,MATCH("ベア加算",【参考】数式用!$B$4:$I$4,0)+1,0),0)*M18,0)*AG20)),"")</f>
        <v>0</v>
      </c>
      <c r="AN20" s="1345" t="str">
        <f>IF(AND(U20&lt;&gt;"",AN18=""),"新規に適用",IF(AND(U20&lt;&gt;"",AN18&lt;&gt;""),"継続で適用",""))</f>
        <v/>
      </c>
      <c r="AO20" s="1345" t="str">
        <f>IF(AND(U20&lt;&gt;"",AO18=""),"新規に適用",IF(AND(U20&lt;&gt;"",AO18&lt;&gt;""),"継続で適用",""))</f>
        <v/>
      </c>
      <c r="AP20" s="1391"/>
      <c r="AQ20" s="1345" t="str">
        <f>IF(AND(U20&lt;&gt;"",AQ18=""),"新規に適用",IF(AND(U20&lt;&gt;"",AQ18&lt;&gt;""),"継続で適用",""))</f>
        <v/>
      </c>
      <c r="AR20" s="1349"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5" t="str">
        <f>IF(AND(U20&lt;&gt;"",AS18=""),"新規に適用",IF(AND(U20&lt;&gt;"",AS18&lt;&gt;""),"継続で適用",""))</f>
        <v/>
      </c>
      <c r="AT20" s="1334"/>
      <c r="AU20" s="663"/>
      <c r="AV20" s="1335" t="str">
        <f>IF(K18&lt;&gt;"","V列に色付け","")</f>
        <v/>
      </c>
      <c r="AW20" s="1344"/>
      <c r="AX20" s="1337"/>
      <c r="AY20" s="175"/>
      <c r="AZ20" s="175"/>
      <c r="BA20" s="175"/>
      <c r="BB20" s="175"/>
      <c r="BC20" s="175"/>
      <c r="BD20" s="175"/>
      <c r="BE20" s="175"/>
      <c r="BF20" s="175"/>
      <c r="BG20" s="175"/>
      <c r="BH20" s="175"/>
      <c r="BI20" s="175"/>
      <c r="BJ20" s="175"/>
      <c r="BK20" s="175"/>
      <c r="BL20" s="555" t="str">
        <f>G18</f>
        <v/>
      </c>
    </row>
    <row r="21" spans="1:64" ht="30" customHeight="1" thickBot="1">
      <c r="A21" s="1316"/>
      <c r="B21" s="1439"/>
      <c r="C21" s="1440"/>
      <c r="D21" s="1440"/>
      <c r="E21" s="1440"/>
      <c r="F21" s="1441"/>
      <c r="G21" s="1269"/>
      <c r="H21" s="1269"/>
      <c r="I21" s="1269"/>
      <c r="J21" s="1444"/>
      <c r="K21" s="1269"/>
      <c r="L21" s="1455"/>
      <c r="M21" s="1457"/>
      <c r="N21" s="662" t="str">
        <f>IF('別紙様式2-2（４・５月分）'!Q19="","",'別紙様式2-2（４・５月分）'!Q19)</f>
        <v/>
      </c>
      <c r="O21" s="1422"/>
      <c r="P21" s="1480"/>
      <c r="Q21" s="1404"/>
      <c r="R21" s="1478"/>
      <c r="S21" s="1408"/>
      <c r="T21" s="1410"/>
      <c r="U21" s="1412"/>
      <c r="V21" s="1414"/>
      <c r="W21" s="1416"/>
      <c r="X21" s="1451"/>
      <c r="Y21" s="1398"/>
      <c r="Z21" s="1451"/>
      <c r="AA21" s="1398"/>
      <c r="AB21" s="1451"/>
      <c r="AC21" s="1398"/>
      <c r="AD21" s="1451"/>
      <c r="AE21" s="1398"/>
      <c r="AF21" s="1398"/>
      <c r="AG21" s="1398"/>
      <c r="AH21" s="1366"/>
      <c r="AI21" s="1368"/>
      <c r="AJ21" s="1453"/>
      <c r="AK21" s="1372"/>
      <c r="AL21" s="1362"/>
      <c r="AM21" s="1374"/>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
      </c>
      <c r="AX21" s="1337"/>
      <c r="AY21" s="175"/>
      <c r="AZ21" s="175"/>
      <c r="BA21" s="175"/>
      <c r="BB21" s="175"/>
      <c r="BC21" s="175"/>
      <c r="BD21" s="175"/>
      <c r="BE21" s="175"/>
      <c r="BF21" s="175"/>
      <c r="BG21" s="175"/>
      <c r="BH21" s="175"/>
      <c r="BI21" s="175"/>
      <c r="BJ21" s="175"/>
      <c r="BK21" s="175"/>
      <c r="BL21" s="555" t="str">
        <f>G18</f>
        <v/>
      </c>
    </row>
    <row r="22" spans="1:64" ht="30" customHeight="1">
      <c r="A22" s="1314">
        <v>3</v>
      </c>
      <c r="B22" s="1298" t="str">
        <f>IF(基本情報入力シート!C56="","",基本情報入力シート!C56)</f>
        <v/>
      </c>
      <c r="C22" s="1299"/>
      <c r="D22" s="1299"/>
      <c r="E22" s="1299"/>
      <c r="F22" s="1300"/>
      <c r="G22" s="1267" t="str">
        <f>IF(基本情報入力シート!M56="","",基本情報入力シート!M56)</f>
        <v/>
      </c>
      <c r="H22" s="1267" t="str">
        <f>IF(基本情報入力シート!R56="","",基本情報入力シート!R56)</f>
        <v/>
      </c>
      <c r="I22" s="1267" t="str">
        <f>IF(基本情報入力シート!W56="","",基本情報入力シート!W56)</f>
        <v/>
      </c>
      <c r="J22" s="1442" t="str">
        <f>IF(基本情報入力シート!X56="","",基本情報入力シート!X56)</f>
        <v/>
      </c>
      <c r="K22" s="1267" t="str">
        <f>IF(基本情報入力シート!Y56="","",基本情報入力シート!Y56)</f>
        <v/>
      </c>
      <c r="L22" s="1465" t="str">
        <f>IF(基本情報入力シート!AB56="","",基本情報入力シート!AB56)</f>
        <v/>
      </c>
      <c r="M22" s="1462" t="str">
        <f>IF(基本情報入力シート!AC56="","",基本情報入力シート!AC56)</f>
        <v/>
      </c>
      <c r="N22" s="659"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2173</v>
      </c>
      <c r="U22" s="1458"/>
      <c r="V22" s="1435" t="str">
        <f>IFERROR(VLOOKUP(K22,【参考】数式用!$A$5:$AB$27,MATCH(U22,【参考】数式用!$B$4:$AB$4,0)+1,0),"")</f>
        <v/>
      </c>
      <c r="W22" s="1437" t="s">
        <v>19</v>
      </c>
      <c r="X22" s="1375">
        <v>6</v>
      </c>
      <c r="Y22" s="1377" t="s">
        <v>10</v>
      </c>
      <c r="Z22" s="1375">
        <v>6</v>
      </c>
      <c r="AA22" s="1377" t="s">
        <v>45</v>
      </c>
      <c r="AB22" s="1375">
        <v>7</v>
      </c>
      <c r="AC22" s="1377" t="s">
        <v>10</v>
      </c>
      <c r="AD22" s="1375">
        <v>3</v>
      </c>
      <c r="AE22" s="1377" t="s">
        <v>13</v>
      </c>
      <c r="AF22" s="1377" t="s">
        <v>24</v>
      </c>
      <c r="AG22" s="1377">
        <f>IF(X22&gt;=1,(AB22*12+AD22)-(X22*12+Z22)+1,"")</f>
        <v>10</v>
      </c>
      <c r="AH22" s="1379" t="s">
        <v>38</v>
      </c>
      <c r="AI22" s="1381" t="str">
        <f>IFERROR(ROUNDDOWN(ROUND(L22*V22,0)*M22,0)*AG22,"")</f>
        <v/>
      </c>
      <c r="AJ22" s="1383" t="str">
        <f>IFERROR(ROUNDDOWN(ROUND((L22*(V22-AX22)),0)*M22,0)*AG22,"")</f>
        <v/>
      </c>
      <c r="AK22" s="1385">
        <f>IFERROR(IF(OR(N22="",N23="",N25=""),0,ROUNDDOWN(ROUNDDOWN(ROUND(L22*VLOOKUP(K22,【参考】数式用!$A$5:$AB$27,MATCH("新加算Ⅳ",【参考】数式用!$B$4:$AB$4,0)+1,0),0)*M22,0)*AG22*0.5,0)),"")</f>
        <v>0</v>
      </c>
      <c r="AL22" s="1363"/>
      <c r="AM22" s="1387">
        <f>IFERROR(IF(OR(N25="ベア加算",N25=""),0, IF(OR(U22="新加算Ⅰ",U22="新加算Ⅱ",U22="新加算Ⅲ",U22="新加算Ⅳ"),ROUNDDOWN(ROUND(L22*VLOOKUP(K22,【参考】数式用!$A$5:$I$27,MATCH("ベア加算",【参考】数式用!$B$4:$I$4,0)+1,0),0)*M22,0)*AG22,0)),"")</f>
        <v>0</v>
      </c>
      <c r="AN22" s="1359"/>
      <c r="AO22" s="1389"/>
      <c r="AP22" s="1393"/>
      <c r="AQ22" s="1393"/>
      <c r="AR22" s="1395"/>
      <c r="AS22" s="1347"/>
      <c r="AT22" s="568" t="str">
        <f t="shared" si="0"/>
        <v/>
      </c>
      <c r="AU22" s="663"/>
      <c r="AV22" s="1335" t="str">
        <f>IF(K22&lt;&gt;"","V列に色付け","")</f>
        <v/>
      </c>
      <c r="AW22" s="661" t="str">
        <f>IF('別紙様式2-2（４・５月分）'!O20="","",'別紙様式2-2（４・５月分）'!O20)</f>
        <v/>
      </c>
      <c r="AX22" s="1337" t="str">
        <f>IF(SUM('別紙様式2-2（４・５月分）'!P20:P22)=0,"",SUM('別紙様式2-2（４・５月分）'!P20:P22))</f>
        <v/>
      </c>
      <c r="AY22" s="1338" t="str">
        <f>IFERROR(VLOOKUP(K22,【参考】数式用!$AJ$2:$AK$24,2,FALSE),"")</f>
        <v/>
      </c>
      <c r="AZ22" s="1247" t="s">
        <v>2098</v>
      </c>
      <c r="BA22" s="1247" t="s">
        <v>2099</v>
      </c>
      <c r="BB22" s="1247" t="s">
        <v>2100</v>
      </c>
      <c r="BC22" s="1247" t="s">
        <v>2101</v>
      </c>
      <c r="BD22" s="1247" t="str">
        <f>IF(AND(P22&lt;&gt;"新加算Ⅰ",P22&lt;&gt;"新加算Ⅱ",P22&lt;&gt;"新加算Ⅲ",P22&lt;&gt;"新加算Ⅳ"),P22,IF(Q24&lt;&gt;"",Q24,""))</f>
        <v/>
      </c>
      <c r="BE22" s="1247"/>
      <c r="BF22" s="1247" t="str">
        <f t="shared" ref="BF22" si="4">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
      </c>
    </row>
    <row r="23" spans="1:64" ht="15" customHeight="1">
      <c r="A23" s="1315"/>
      <c r="B23" s="1301"/>
      <c r="C23" s="1302"/>
      <c r="D23" s="1302"/>
      <c r="E23" s="1302"/>
      <c r="F23" s="1303"/>
      <c r="G23" s="1268"/>
      <c r="H23" s="1268"/>
      <c r="I23" s="1268"/>
      <c r="J23" s="1443"/>
      <c r="K23" s="1268"/>
      <c r="L23" s="1454"/>
      <c r="M23" s="1463"/>
      <c r="N23" s="1399" t="str">
        <f>IF('別紙様式2-2（４・５月分）'!Q21="","",'別紙様式2-2（４・５月分）'!Q21)</f>
        <v/>
      </c>
      <c r="O23" s="1420"/>
      <c r="P23" s="1426"/>
      <c r="Q23" s="1427"/>
      <c r="R23" s="1428"/>
      <c r="S23" s="1430"/>
      <c r="T23" s="1432"/>
      <c r="U23" s="1459"/>
      <c r="V23" s="1436"/>
      <c r="W23" s="1438"/>
      <c r="X23" s="1376"/>
      <c r="Y23" s="1378"/>
      <c r="Z23" s="1376"/>
      <c r="AA23" s="1378"/>
      <c r="AB23" s="1376"/>
      <c r="AC23" s="1378"/>
      <c r="AD23" s="1376"/>
      <c r="AE23" s="1378"/>
      <c r="AF23" s="1378"/>
      <c r="AG23" s="1378"/>
      <c r="AH23" s="1380"/>
      <c r="AI23" s="1382"/>
      <c r="AJ23" s="1384"/>
      <c r="AK23" s="1386"/>
      <c r="AL23" s="1364"/>
      <c r="AM23" s="1388"/>
      <c r="AN23" s="1360"/>
      <c r="AO23" s="1390"/>
      <c r="AP23" s="1394"/>
      <c r="AQ23" s="1394"/>
      <c r="AR23" s="1396"/>
      <c r="AS23" s="1348"/>
      <c r="AT23" s="1334" t="str">
        <f t="shared" si="2"/>
        <v/>
      </c>
      <c r="AU23" s="663"/>
      <c r="AV23" s="1335"/>
      <c r="AW23" s="1344" t="str">
        <f>IF('別紙様式2-2（４・５月分）'!O21="","",'別紙様式2-2（４・５月分）'!O21)</f>
        <v/>
      </c>
      <c r="AX23" s="1337"/>
      <c r="AY23" s="1338"/>
      <c r="AZ23" s="1247"/>
      <c r="BA23" s="1247"/>
      <c r="BB23" s="1247"/>
      <c r="BC23" s="1247"/>
      <c r="BD23" s="1247"/>
      <c r="BE23" s="1247"/>
      <c r="BF23" s="1247"/>
      <c r="BG23" s="1247"/>
      <c r="BH23" s="1247"/>
      <c r="BI23" s="1247"/>
      <c r="BJ23" s="1355"/>
      <c r="BK23" s="1335"/>
      <c r="BL23" s="555" t="str">
        <f>G22</f>
        <v/>
      </c>
    </row>
    <row r="24" spans="1:64" ht="15" customHeight="1">
      <c r="A24" s="1326"/>
      <c r="B24" s="1301"/>
      <c r="C24" s="1302"/>
      <c r="D24" s="1302"/>
      <c r="E24" s="1302"/>
      <c r="F24" s="1303"/>
      <c r="G24" s="1268"/>
      <c r="H24" s="1268"/>
      <c r="I24" s="1268"/>
      <c r="J24" s="1443"/>
      <c r="K24" s="1268"/>
      <c r="L24" s="1454"/>
      <c r="M24" s="1463"/>
      <c r="N24" s="1400"/>
      <c r="O24" s="1421"/>
      <c r="P24" s="1401" t="s">
        <v>2179</v>
      </c>
      <c r="Q24" s="1403" t="str">
        <f>IFERROR(VLOOKUP('別紙様式2-2（４・５月分）'!AR20,【参考】数式用!$AT$5:$AV$22,3,FALSE),"")</f>
        <v/>
      </c>
      <c r="R24" s="1405" t="s">
        <v>2190</v>
      </c>
      <c r="S24" s="1407" t="str">
        <f>IFERROR(VLOOKUP(K22,【参考】数式用!$A$5:$AB$27,MATCH(Q24,【参考】数式用!$B$4:$AB$4,0)+1,0),"")</f>
        <v/>
      </c>
      <c r="T24" s="1409" t="s">
        <v>217</v>
      </c>
      <c r="U24" s="1411"/>
      <c r="V24" s="1413" t="str">
        <f>IFERROR(VLOOKUP(K22,【参考】数式用!$A$5:$AB$27,MATCH(U24,【参考】数式用!$B$4:$AB$4,0)+1,0),"")</f>
        <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5" t="s">
        <v>38</v>
      </c>
      <c r="AI24" s="1367" t="str">
        <f>IFERROR(ROUNDDOWN(ROUND(L22*V24,0)*M22,0)*AG24,"")</f>
        <v/>
      </c>
      <c r="AJ24" s="1452" t="str">
        <f>IFERROR(ROUNDDOWN(ROUND((L22*(V24-AX22)),0)*M22,0)*AG24,"")</f>
        <v/>
      </c>
      <c r="AK24" s="1371">
        <f>IFERROR(IF(OR(N22="",N23="",N25=""),0,ROUNDDOWN(ROUNDDOWN(ROUND(L22*VLOOKUP(K22,【参考】数式用!$A$5:$AB$27,MATCH("新加算Ⅳ",【参考】数式用!$B$4:$AB$4,0)+1,0),0)*M22,0)*AG24*0.5,0)),"")</f>
        <v>0</v>
      </c>
      <c r="AL24" s="1361" t="str">
        <f>IF(U24&lt;&gt;"","新規に適用","")</f>
        <v/>
      </c>
      <c r="AM24" s="1373">
        <f>IFERROR(IF(OR(N25="ベア加算",N25=""),0, IF(OR(U22="新加算Ⅰ",U22="新加算Ⅱ",U22="新加算Ⅲ",U22="新加算Ⅳ"),0,ROUNDDOWN(ROUND(L22*VLOOKUP(K22,【参考】数式用!$A$5:$I$27,MATCH("ベア加算",【参考】数式用!$B$4:$I$4,0)+1,0),0)*M22,0)*AG24)),"")</f>
        <v>0</v>
      </c>
      <c r="AN24" s="1345" t="str">
        <f>IF(AND(U24&lt;&gt;"",AN22=""),"新規に適用",IF(AND(U24&lt;&gt;"",AN22&lt;&gt;""),"継続で適用",""))</f>
        <v/>
      </c>
      <c r="AO24" s="1345" t="str">
        <f>IF(AND(U24&lt;&gt;"",AO22=""),"新規に適用",IF(AND(U24&lt;&gt;"",AO22&lt;&gt;""),"継続で適用",""))</f>
        <v/>
      </c>
      <c r="AP24" s="1391"/>
      <c r="AQ24" s="1345" t="str">
        <f>IF(AND(U24&lt;&gt;"",AQ22=""),"新規に適用",IF(AND(U24&lt;&gt;"",AQ22&lt;&gt;""),"継続で適用",""))</f>
        <v/>
      </c>
      <c r="AR24" s="1349"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
      </c>
      <c r="AT24" s="1334"/>
      <c r="AU24" s="663"/>
      <c r="AV24" s="1335" t="str">
        <f>IF(K22&lt;&gt;"","V列に色付け","")</f>
        <v/>
      </c>
      <c r="AW24" s="1344"/>
      <c r="AX24" s="1337"/>
      <c r="AY24" s="175"/>
      <c r="AZ24" s="175"/>
      <c r="BA24" s="175"/>
      <c r="BB24" s="175"/>
      <c r="BC24" s="175"/>
      <c r="BD24" s="175"/>
      <c r="BE24" s="175"/>
      <c r="BF24" s="175"/>
      <c r="BG24" s="175"/>
      <c r="BH24" s="175"/>
      <c r="BI24" s="175"/>
      <c r="BJ24" s="175"/>
      <c r="BK24" s="175"/>
      <c r="BL24" s="555" t="str">
        <f>G22</f>
        <v/>
      </c>
    </row>
    <row r="25" spans="1:64" ht="30" customHeight="1" thickBot="1">
      <c r="A25" s="1316"/>
      <c r="B25" s="1439"/>
      <c r="C25" s="1440"/>
      <c r="D25" s="1440"/>
      <c r="E25" s="1440"/>
      <c r="F25" s="1441"/>
      <c r="G25" s="1269"/>
      <c r="H25" s="1269"/>
      <c r="I25" s="1269"/>
      <c r="J25" s="1444"/>
      <c r="K25" s="1269"/>
      <c r="L25" s="1455"/>
      <c r="M25" s="1464"/>
      <c r="N25" s="662" t="str">
        <f>IF('別紙様式2-2（４・５月分）'!Q22="","",'別紙様式2-2（４・５月分）'!Q22)</f>
        <v/>
      </c>
      <c r="O25" s="1422"/>
      <c r="P25" s="1402"/>
      <c r="Q25" s="1404"/>
      <c r="R25" s="1406"/>
      <c r="S25" s="1408"/>
      <c r="T25" s="1410"/>
      <c r="U25" s="1412"/>
      <c r="V25" s="1414"/>
      <c r="W25" s="1416"/>
      <c r="X25" s="1451"/>
      <c r="Y25" s="1398"/>
      <c r="Z25" s="1451"/>
      <c r="AA25" s="1398"/>
      <c r="AB25" s="1451"/>
      <c r="AC25" s="1398"/>
      <c r="AD25" s="1451"/>
      <c r="AE25" s="1398"/>
      <c r="AF25" s="1398"/>
      <c r="AG25" s="1398"/>
      <c r="AH25" s="1366"/>
      <c r="AI25" s="1368"/>
      <c r="AJ25" s="1453"/>
      <c r="AK25" s="1372"/>
      <c r="AL25" s="1362"/>
      <c r="AM25" s="1374"/>
      <c r="AN25" s="1346"/>
      <c r="AO25" s="1346"/>
      <c r="AP25" s="1392"/>
      <c r="AQ25" s="1346"/>
      <c r="AR25" s="1350"/>
      <c r="AS25" s="1346"/>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
      </c>
      <c r="AX25" s="1337"/>
      <c r="AY25" s="175"/>
      <c r="AZ25" s="175"/>
      <c r="BA25" s="175"/>
      <c r="BB25" s="175"/>
      <c r="BC25" s="175"/>
      <c r="BD25" s="175"/>
      <c r="BE25" s="175"/>
      <c r="BF25" s="175"/>
      <c r="BG25" s="175"/>
      <c r="BH25" s="175"/>
      <c r="BI25" s="175"/>
      <c r="BJ25" s="175"/>
      <c r="BK25" s="175"/>
      <c r="BL25" s="555" t="str">
        <f>G22</f>
        <v/>
      </c>
    </row>
    <row r="26" spans="1:64" ht="30" customHeight="1">
      <c r="A26" s="1325">
        <v>4</v>
      </c>
      <c r="B26" s="1301" t="str">
        <f>IF(基本情報入力シート!C57="","",基本情報入力シート!C57)</f>
        <v/>
      </c>
      <c r="C26" s="1302"/>
      <c r="D26" s="1302"/>
      <c r="E26" s="1302"/>
      <c r="F26" s="1303"/>
      <c r="G26" s="1268" t="str">
        <f>IF(基本情報入力シート!M57="","",基本情報入力シート!M57)</f>
        <v/>
      </c>
      <c r="H26" s="1268" t="str">
        <f>IF(基本情報入力シート!R57="","",基本情報入力シート!R57)</f>
        <v/>
      </c>
      <c r="I26" s="1268" t="str">
        <f>IF(基本情報入力シート!W57="","",基本情報入力シート!W57)</f>
        <v/>
      </c>
      <c r="J26" s="1443"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2173</v>
      </c>
      <c r="U26" s="1458"/>
      <c r="V26" s="1435" t="str">
        <f>IFERROR(VLOOKUP(K26,【参考】数式用!$A$5:$AB$27,MATCH(U26,【参考】数式用!$B$4:$AB$4,0)+1,0),"")</f>
        <v/>
      </c>
      <c r="W26" s="1437" t="s">
        <v>19</v>
      </c>
      <c r="X26" s="1375">
        <v>6</v>
      </c>
      <c r="Y26" s="1377" t="s">
        <v>10</v>
      </c>
      <c r="Z26" s="1375">
        <v>6</v>
      </c>
      <c r="AA26" s="1377" t="s">
        <v>45</v>
      </c>
      <c r="AB26" s="1375">
        <v>7</v>
      </c>
      <c r="AC26" s="1377" t="s">
        <v>10</v>
      </c>
      <c r="AD26" s="1375">
        <v>3</v>
      </c>
      <c r="AE26" s="1377" t="s">
        <v>13</v>
      </c>
      <c r="AF26" s="1377" t="s">
        <v>24</v>
      </c>
      <c r="AG26" s="1377">
        <f>IF(X26&gt;=1,(AB26*12+AD26)-(X26*12+Z26)+1,"")</f>
        <v>10</v>
      </c>
      <c r="AH26" s="1379" t="s">
        <v>38</v>
      </c>
      <c r="AI26" s="1381" t="str">
        <f>IFERROR(ROUNDDOWN(ROUND(L26*V26,0)*M26,0)*AG26,"")</f>
        <v/>
      </c>
      <c r="AJ26" s="1383" t="str">
        <f>IFERROR(ROUNDDOWN(ROUND((L26*(V26-AX26)),0)*M26,0)*AG26,"")</f>
        <v/>
      </c>
      <c r="AK26" s="1385">
        <f>IFERROR(IF(OR(N26="",N27="",N29=""),0,ROUNDDOWN(ROUNDDOWN(ROUND(L26*VLOOKUP(K26,【参考】数式用!$A$5:$AB$27,MATCH("新加算Ⅳ",【参考】数式用!$B$4:$AB$4,0)+1,0),0)*M26,0)*AG26*0.5,0)),"")</f>
        <v>0</v>
      </c>
      <c r="AL26" s="1363"/>
      <c r="AM26" s="1387">
        <f>IFERROR(IF(OR(N29="ベア加算",N29=""),0, IF(OR(U26="新加算Ⅰ",U26="新加算Ⅱ",U26="新加算Ⅲ",U26="新加算Ⅳ"),ROUNDDOWN(ROUND(L26*VLOOKUP(K26,【参考】数式用!$A$5:$I$27,MATCH("ベア加算",【参考】数式用!$B$4:$I$4,0)+1,0),0)*M26,0)*AG26,0)),"")</f>
        <v>0</v>
      </c>
      <c r="AN26" s="1359"/>
      <c r="AO26" s="1389"/>
      <c r="AP26" s="1393"/>
      <c r="AQ26" s="1393"/>
      <c r="AR26" s="1395"/>
      <c r="AS26" s="1347"/>
      <c r="AT26" s="568" t="str">
        <f t="shared" si="0"/>
        <v/>
      </c>
      <c r="AU26" s="663"/>
      <c r="AV26" s="1335" t="str">
        <f>IF(K26&lt;&gt;"","V列に色付け","")</f>
        <v/>
      </c>
      <c r="AW26" s="661" t="str">
        <f>IF('別紙様式2-2（４・５月分）'!O23="","",'別紙様式2-2（４・５月分）'!O23)</f>
        <v/>
      </c>
      <c r="AX26" s="1337" t="str">
        <f>IF(SUM('別紙様式2-2（４・５月分）'!P23:P25)=0,"",SUM('別紙様式2-2（４・５月分）'!P23:P25))</f>
        <v/>
      </c>
      <c r="AY26" s="1338" t="str">
        <f>IFERROR(VLOOKUP(K26,【参考】数式用!$AJ$2:$AK$24,2,FALSE),"")</f>
        <v/>
      </c>
      <c r="AZ26" s="1247" t="s">
        <v>2098</v>
      </c>
      <c r="BA26" s="1247" t="s">
        <v>2099</v>
      </c>
      <c r="BB26" s="1247" t="s">
        <v>2100</v>
      </c>
      <c r="BC26" s="1247" t="s">
        <v>2101</v>
      </c>
      <c r="BD26" s="1247" t="str">
        <f>IF(AND(P26&lt;&gt;"新加算Ⅰ",P26&lt;&gt;"新加算Ⅱ",P26&lt;&gt;"新加算Ⅲ",P26&lt;&gt;"新加算Ⅳ"),P26,IF(Q28&lt;&gt;"",Q28,""))</f>
        <v/>
      </c>
      <c r="BE26" s="1247"/>
      <c r="BF26" s="1247" t="str">
        <f t="shared" ref="BF26" si="7">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
      </c>
    </row>
    <row r="27" spans="1:64" ht="15" customHeight="1">
      <c r="A27" s="1315"/>
      <c r="B27" s="1301"/>
      <c r="C27" s="1302"/>
      <c r="D27" s="1302"/>
      <c r="E27" s="1302"/>
      <c r="F27" s="1303"/>
      <c r="G27" s="1268"/>
      <c r="H27" s="1268"/>
      <c r="I27" s="1268"/>
      <c r="J27" s="1443"/>
      <c r="K27" s="1268"/>
      <c r="L27" s="1454"/>
      <c r="M27" s="1456"/>
      <c r="N27" s="1399" t="str">
        <f>IF('別紙様式2-2（４・５月分）'!Q24="","",'別紙様式2-2（４・５月分）'!Q24)</f>
        <v/>
      </c>
      <c r="O27" s="1420"/>
      <c r="P27" s="1426"/>
      <c r="Q27" s="1427"/>
      <c r="R27" s="1428"/>
      <c r="S27" s="1430"/>
      <c r="T27" s="1432"/>
      <c r="U27" s="1459"/>
      <c r="V27" s="1436"/>
      <c r="W27" s="1438"/>
      <c r="X27" s="1376"/>
      <c r="Y27" s="1378"/>
      <c r="Z27" s="1376"/>
      <c r="AA27" s="1378"/>
      <c r="AB27" s="1376"/>
      <c r="AC27" s="1378"/>
      <c r="AD27" s="1376"/>
      <c r="AE27" s="1378"/>
      <c r="AF27" s="1378"/>
      <c r="AG27" s="1378"/>
      <c r="AH27" s="1380"/>
      <c r="AI27" s="1382"/>
      <c r="AJ27" s="1384"/>
      <c r="AK27" s="1386"/>
      <c r="AL27" s="1364"/>
      <c r="AM27" s="1388"/>
      <c r="AN27" s="1360"/>
      <c r="AO27" s="1390"/>
      <c r="AP27" s="1394"/>
      <c r="AQ27" s="1394"/>
      <c r="AR27" s="1396"/>
      <c r="AS27" s="1348"/>
      <c r="AT27" s="1334" t="str">
        <f t="shared" si="2"/>
        <v/>
      </c>
      <c r="AU27" s="663"/>
      <c r="AV27" s="1335"/>
      <c r="AW27" s="1344" t="str">
        <f>IF('別紙様式2-2（４・５月分）'!O24="","",'別紙様式2-2（４・５月分）'!O24)</f>
        <v/>
      </c>
      <c r="AX27" s="1337"/>
      <c r="AY27" s="1338"/>
      <c r="AZ27" s="1247"/>
      <c r="BA27" s="1247"/>
      <c r="BB27" s="1247"/>
      <c r="BC27" s="1247"/>
      <c r="BD27" s="1247"/>
      <c r="BE27" s="1247"/>
      <c r="BF27" s="1247"/>
      <c r="BG27" s="1247"/>
      <c r="BH27" s="1247"/>
      <c r="BI27" s="1247"/>
      <c r="BJ27" s="1355"/>
      <c r="BK27" s="1335"/>
      <c r="BL27" s="555" t="str">
        <f>G26</f>
        <v/>
      </c>
    </row>
    <row r="28" spans="1:64" ht="15" customHeight="1">
      <c r="A28" s="1326"/>
      <c r="B28" s="1301"/>
      <c r="C28" s="1302"/>
      <c r="D28" s="1302"/>
      <c r="E28" s="1302"/>
      <c r="F28" s="1303"/>
      <c r="G28" s="1268"/>
      <c r="H28" s="1268"/>
      <c r="I28" s="1268"/>
      <c r="J28" s="1443"/>
      <c r="K28" s="1268"/>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217</v>
      </c>
      <c r="U28" s="1411"/>
      <c r="V28" s="1413" t="str">
        <f>IFERROR(VLOOKUP(K26,【参考】数式用!$A$5:$AB$27,MATCH(U28,【参考】数式用!$B$4:$AB$4,0)+1,0),"")</f>
        <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5" t="s">
        <v>38</v>
      </c>
      <c r="AI28" s="1367" t="str">
        <f>IFERROR(ROUNDDOWN(ROUND(L26*V28,0)*M26,0)*AG28,"")</f>
        <v/>
      </c>
      <c r="AJ28" s="1452" t="str">
        <f>IFERROR(ROUNDDOWN(ROUND((L26*(V28-AX26)),0)*M26,0)*AG28,"")</f>
        <v/>
      </c>
      <c r="AK28" s="1371">
        <f>IFERROR(IF(OR(N26="",N27="",N29=""),0,ROUNDDOWN(ROUNDDOWN(ROUND(L26*VLOOKUP(K26,【参考】数式用!$A$5:$AB$27,MATCH("新加算Ⅳ",【参考】数式用!$B$4:$AB$4,0)+1,0),0)*M26,0)*AG28*0.5,0)),"")</f>
        <v>0</v>
      </c>
      <c r="AL28" s="1361" t="str">
        <f>IF(U28&lt;&gt;"","新規に適用","")</f>
        <v/>
      </c>
      <c r="AM28" s="1373">
        <f>IFERROR(IF(OR(N29="ベア加算",N29=""),0, IF(OR(U26="新加算Ⅰ",U26="新加算Ⅱ",U26="新加算Ⅲ",U26="新加算Ⅳ"),0,ROUNDDOWN(ROUND(L26*VLOOKUP(K26,【参考】数式用!$A$5:$I$27,MATCH("ベア加算",【参考】数式用!$B$4:$I$4,0)+1,0),0)*M26,0)*AG28)),"")</f>
        <v>0</v>
      </c>
      <c r="AN28" s="1345" t="str">
        <f>IF(AND(U28&lt;&gt;"",AN26=""),"新規に適用",IF(AND(U28&lt;&gt;"",AN26&lt;&gt;""),"継続で適用",""))</f>
        <v/>
      </c>
      <c r="AO28" s="1345" t="str">
        <f>IF(AND(U28&lt;&gt;"",AO26=""),"新規に適用",IF(AND(U28&lt;&gt;"",AO26&lt;&gt;""),"継続で適用",""))</f>
        <v/>
      </c>
      <c r="AP28" s="1391"/>
      <c r="AQ28" s="1345" t="str">
        <f>IF(AND(U28&lt;&gt;"",AQ26=""),"新規に適用",IF(AND(U28&lt;&gt;"",AQ26&lt;&gt;""),"継続で適用",""))</f>
        <v/>
      </c>
      <c r="AR28" s="1349"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5" t="str">
        <f>IF(AND(U28&lt;&gt;"",AS26=""),"新規に適用",IF(AND(U28&lt;&gt;"",AS26&lt;&gt;""),"継続で適用",""))</f>
        <v/>
      </c>
      <c r="AT28" s="1334"/>
      <c r="AU28" s="663"/>
      <c r="AV28" s="1335" t="str">
        <f>IF(K26&lt;&gt;"","V列に色付け","")</f>
        <v/>
      </c>
      <c r="AW28" s="1344"/>
      <c r="AX28" s="1337"/>
      <c r="AY28" s="175"/>
      <c r="AZ28" s="175"/>
      <c r="BA28" s="175"/>
      <c r="BB28" s="175"/>
      <c r="BC28" s="175"/>
      <c r="BD28" s="175"/>
      <c r="BE28" s="175"/>
      <c r="BF28" s="175"/>
      <c r="BG28" s="175"/>
      <c r="BH28" s="175"/>
      <c r="BI28" s="175"/>
      <c r="BJ28" s="175"/>
      <c r="BK28" s="175"/>
      <c r="BL28" s="555" t="str">
        <f>G26</f>
        <v/>
      </c>
    </row>
    <row r="29" spans="1:64" ht="30" customHeight="1" thickBot="1">
      <c r="A29" s="1316"/>
      <c r="B29" s="1439"/>
      <c r="C29" s="1440"/>
      <c r="D29" s="1440"/>
      <c r="E29" s="1440"/>
      <c r="F29" s="1441"/>
      <c r="G29" s="1269"/>
      <c r="H29" s="1269"/>
      <c r="I29" s="1269"/>
      <c r="J29" s="1444"/>
      <c r="K29" s="1269"/>
      <c r="L29" s="1455"/>
      <c r="M29" s="1457"/>
      <c r="N29" s="662" t="str">
        <f>IF('別紙様式2-2（４・５月分）'!Q25="","",'別紙様式2-2（４・５月分）'!Q25)</f>
        <v/>
      </c>
      <c r="O29" s="1422"/>
      <c r="P29" s="1402"/>
      <c r="Q29" s="1461"/>
      <c r="R29" s="1406"/>
      <c r="S29" s="1408"/>
      <c r="T29" s="1410"/>
      <c r="U29" s="1412"/>
      <c r="V29" s="1414"/>
      <c r="W29" s="1416"/>
      <c r="X29" s="1451"/>
      <c r="Y29" s="1398"/>
      <c r="Z29" s="1451"/>
      <c r="AA29" s="1398"/>
      <c r="AB29" s="1451"/>
      <c r="AC29" s="1398"/>
      <c r="AD29" s="1451"/>
      <c r="AE29" s="1398"/>
      <c r="AF29" s="1398"/>
      <c r="AG29" s="1398"/>
      <c r="AH29" s="1366"/>
      <c r="AI29" s="1368"/>
      <c r="AJ29" s="1453"/>
      <c r="AK29" s="1372"/>
      <c r="AL29" s="1362"/>
      <c r="AM29" s="1374"/>
      <c r="AN29" s="1346"/>
      <c r="AO29" s="1346"/>
      <c r="AP29" s="1392"/>
      <c r="AQ29" s="1346"/>
      <c r="AR29" s="1350"/>
      <c r="AS29" s="1346"/>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
      </c>
      <c r="AX29" s="1337"/>
      <c r="AY29" s="175"/>
      <c r="AZ29" s="175"/>
      <c r="BA29" s="175"/>
      <c r="BB29" s="175"/>
      <c r="BC29" s="175"/>
      <c r="BD29" s="175"/>
      <c r="BE29" s="175"/>
      <c r="BF29" s="175"/>
      <c r="BG29" s="175"/>
      <c r="BH29" s="175"/>
      <c r="BI29" s="175"/>
      <c r="BJ29" s="175"/>
      <c r="BK29" s="175"/>
      <c r="BL29" s="555" t="str">
        <f>G26</f>
        <v/>
      </c>
    </row>
    <row r="30" spans="1:64" ht="30" customHeight="1">
      <c r="A30" s="1314">
        <v>5</v>
      </c>
      <c r="B30" s="1298" t="str">
        <f>IF(基本情報入力シート!C58="","",基本情報入力シート!C58)</f>
        <v/>
      </c>
      <c r="C30" s="1299"/>
      <c r="D30" s="1299"/>
      <c r="E30" s="1299"/>
      <c r="F30" s="1300"/>
      <c r="G30" s="1267" t="str">
        <f>IF(基本情報入力シート!M58="","",基本情報入力シート!M58)</f>
        <v/>
      </c>
      <c r="H30" s="1267" t="str">
        <f>IF(基本情報入力シート!R58="","",基本情報入力シート!R58)</f>
        <v/>
      </c>
      <c r="I30" s="1267" t="str">
        <f>IF(基本情報入力シート!W58="","",基本情報入力シート!W58)</f>
        <v/>
      </c>
      <c r="J30" s="1442" t="str">
        <f>IF(基本情報入力シート!X58="","",基本情報入力シート!X58)</f>
        <v/>
      </c>
      <c r="K30" s="1267" t="str">
        <f>IF(基本情報入力シート!Y58="","",基本情報入力シート!Y58)</f>
        <v/>
      </c>
      <c r="L30" s="1465" t="str">
        <f>IF(基本情報入力シート!AB58="","",基本情報入力シート!AB58)</f>
        <v/>
      </c>
      <c r="M30" s="1462" t="str">
        <f>IF(基本情報入力シート!AC58="","",基本情報入力シート!AC58)</f>
        <v/>
      </c>
      <c r="N30" s="659"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2173</v>
      </c>
      <c r="U30" s="1458"/>
      <c r="V30" s="1435" t="str">
        <f>IFERROR(VLOOKUP(K30,【参考】数式用!$A$5:$AB$27,MATCH(U30,【参考】数式用!$B$4:$AB$4,0)+1,0),"")</f>
        <v/>
      </c>
      <c r="W30" s="1437" t="s">
        <v>19</v>
      </c>
      <c r="X30" s="1375">
        <v>6</v>
      </c>
      <c r="Y30" s="1377" t="s">
        <v>10</v>
      </c>
      <c r="Z30" s="1375">
        <v>6</v>
      </c>
      <c r="AA30" s="1377" t="s">
        <v>45</v>
      </c>
      <c r="AB30" s="1375">
        <v>7</v>
      </c>
      <c r="AC30" s="1377" t="s">
        <v>10</v>
      </c>
      <c r="AD30" s="1375">
        <v>3</v>
      </c>
      <c r="AE30" s="1377" t="s">
        <v>13</v>
      </c>
      <c r="AF30" s="1377" t="s">
        <v>24</v>
      </c>
      <c r="AG30" s="1377">
        <f>IF(X30&gt;=1,(AB30*12+AD30)-(X30*12+Z30)+1,"")</f>
        <v>10</v>
      </c>
      <c r="AH30" s="1379" t="s">
        <v>38</v>
      </c>
      <c r="AI30" s="1381" t="str">
        <f>IFERROR(ROUNDDOWN(ROUND(L30*V30,0)*M30,0)*AG30,"")</f>
        <v/>
      </c>
      <c r="AJ30" s="1383" t="str">
        <f>IFERROR(ROUNDDOWN(ROUND((L30*(V30-AX30)),0)*M30,0)*AG30,"")</f>
        <v/>
      </c>
      <c r="AK30" s="1385">
        <f>IFERROR(IF(OR(N30="",N31="",N33=""),0,ROUNDDOWN(ROUNDDOWN(ROUND(L30*VLOOKUP(K30,【参考】数式用!$A$5:$AB$27,MATCH("新加算Ⅳ",【参考】数式用!$B$4:$AB$4,0)+1,0),0)*M30,0)*AG30*0.5,0)),"")</f>
        <v>0</v>
      </c>
      <c r="AL30" s="1363"/>
      <c r="AM30" s="138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
      </c>
      <c r="AW30" s="664" t="str">
        <f>IF('別紙様式2-2（４・５月分）'!O26="","",'別紙様式2-2（４・５月分）'!O26)</f>
        <v/>
      </c>
      <c r="AX30" s="1339" t="str">
        <f>IF(SUM('別紙様式2-2（４・５月分）'!P26:P28)=0,"",SUM('別紙様式2-2（４・５月分）'!P26:P28))</f>
        <v/>
      </c>
      <c r="AY30" s="1338" t="str">
        <f>IFERROR(VLOOKUP(K30,【参考】数式用!$AJ$2:$AK$24,2,FALSE),"")</f>
        <v/>
      </c>
      <c r="AZ30" s="1247" t="s">
        <v>2098</v>
      </c>
      <c r="BA30" s="1247" t="s">
        <v>2099</v>
      </c>
      <c r="BB30" s="1247" t="s">
        <v>2100</v>
      </c>
      <c r="BC30" s="1247" t="s">
        <v>2101</v>
      </c>
      <c r="BD30" s="1247" t="str">
        <f>IF(AND(P30&lt;&gt;"新加算Ⅰ",P30&lt;&gt;"新加算Ⅱ",P30&lt;&gt;"新加算Ⅲ",P30&lt;&gt;"新加算Ⅳ"),P30,IF(Q32&lt;&gt;"",Q32,""))</f>
        <v/>
      </c>
      <c r="BE30" s="1247"/>
      <c r="BF30" s="1247" t="str">
        <f t="shared" ref="BF30" si="10">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
      </c>
    </row>
    <row r="31" spans="1:64" ht="15" customHeight="1">
      <c r="A31" s="1315"/>
      <c r="B31" s="1301"/>
      <c r="C31" s="1302"/>
      <c r="D31" s="1302"/>
      <c r="E31" s="1302"/>
      <c r="F31" s="1303"/>
      <c r="G31" s="1268"/>
      <c r="H31" s="1268"/>
      <c r="I31" s="1268"/>
      <c r="J31" s="1443"/>
      <c r="K31" s="1268"/>
      <c r="L31" s="1454"/>
      <c r="M31" s="1463"/>
      <c r="N31" s="1399" t="str">
        <f>IF('別紙様式2-2（４・５月分）'!Q27="","",'別紙様式2-2（４・５月分）'!Q27)</f>
        <v/>
      </c>
      <c r="O31" s="1420"/>
      <c r="P31" s="1426"/>
      <c r="Q31" s="1427"/>
      <c r="R31" s="1428"/>
      <c r="S31" s="1430"/>
      <c r="T31" s="1432"/>
      <c r="U31" s="1459"/>
      <c r="V31" s="1436"/>
      <c r="W31" s="1438"/>
      <c r="X31" s="1376"/>
      <c r="Y31" s="1378"/>
      <c r="Z31" s="1376"/>
      <c r="AA31" s="1378"/>
      <c r="AB31" s="1376"/>
      <c r="AC31" s="1378"/>
      <c r="AD31" s="1376"/>
      <c r="AE31" s="1378"/>
      <c r="AF31" s="1378"/>
      <c r="AG31" s="1378"/>
      <c r="AH31" s="1380"/>
      <c r="AI31" s="1382"/>
      <c r="AJ31" s="1384"/>
      <c r="AK31" s="1386"/>
      <c r="AL31" s="1364"/>
      <c r="AM31" s="138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
      </c>
    </row>
    <row r="32" spans="1:64" ht="15" customHeight="1">
      <c r="A32" s="1326"/>
      <c r="B32" s="1301"/>
      <c r="C32" s="1302"/>
      <c r="D32" s="1302"/>
      <c r="E32" s="1302"/>
      <c r="F32" s="1303"/>
      <c r="G32" s="1268"/>
      <c r="H32" s="1268"/>
      <c r="I32" s="1268"/>
      <c r="J32" s="1443"/>
      <c r="K32" s="1268"/>
      <c r="L32" s="1454"/>
      <c r="M32" s="1463"/>
      <c r="N32" s="1400"/>
      <c r="O32" s="1421"/>
      <c r="P32" s="1401" t="s">
        <v>2179</v>
      </c>
      <c r="Q32" s="1403" t="str">
        <f>IFERROR(VLOOKUP('別紙様式2-2（４・５月分）'!AR26,【参考】数式用!$AT$5:$AV$22,3,FALSE),"")</f>
        <v/>
      </c>
      <c r="R32" s="1405" t="s">
        <v>2190</v>
      </c>
      <c r="S32" s="1407" t="str">
        <f>IFERROR(VLOOKUP(K30,【参考】数式用!$A$5:$AB$27,MATCH(Q32,【参考】数式用!$B$4:$AB$4,0)+1,0),"")</f>
        <v/>
      </c>
      <c r="T32" s="1409" t="s">
        <v>217</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5" t="s">
        <v>38</v>
      </c>
      <c r="AI32" s="1367" t="str">
        <f>IFERROR(ROUNDDOWN(ROUND(L30*V32,0)*M30,0)*AG32,"")</f>
        <v/>
      </c>
      <c r="AJ32" s="1452" t="str">
        <f>IFERROR(ROUNDDOWN(ROUND((L30*(V32-AX30)),0)*M30,0)*AG32,"")</f>
        <v/>
      </c>
      <c r="AK32" s="1371">
        <f>IFERROR(IF(OR(N30="",N31="",N33=""),0,ROUNDDOWN(ROUNDDOWN(ROUND(L30*VLOOKUP(K30,【参考】数式用!$A$5:$AB$27,MATCH("新加算Ⅳ",【参考】数式用!$B$4:$AB$4,0)+1,0),0)*M30,0)*AG32*0.5,0)),"")</f>
        <v>0</v>
      </c>
      <c r="AL32" s="1361" t="str">
        <f>IF(U32&lt;&gt;"","新規に適用","")</f>
        <v/>
      </c>
      <c r="AM32" s="1373">
        <f>IFERROR(IF(OR(N33="ベア加算",N33=""),0, IF(OR(U30="新加算Ⅰ",U30="新加算Ⅱ",U30="新加算Ⅲ",U30="新加算Ⅳ"),0,ROUNDDOWN(ROUND(L30*VLOOKUP(K30,【参考】数式用!$A$5:$I$27,MATCH("ベア加算",【参考】数式用!$B$4:$I$4,0)+1,0),0)*M30,0)*AG32)),"")</f>
        <v>0</v>
      </c>
      <c r="AN32" s="1345" t="str">
        <f>IF(AND(U32&lt;&gt;"",AN30=""),"新規に適用",IF(AND(U32&lt;&gt;"",AN30&lt;&gt;""),"継続で適用",""))</f>
        <v/>
      </c>
      <c r="AO32" s="1345" t="str">
        <f>IF(AND(U32&lt;&gt;"",AO30=""),"新規に適用",IF(AND(U32&lt;&gt;"",AO30&lt;&gt;""),"継続で適用",""))</f>
        <v/>
      </c>
      <c r="AP32" s="1391"/>
      <c r="AQ32" s="1345" t="str">
        <f>IF(AND(U32&lt;&gt;"",AQ30=""),"新規に適用",IF(AND(U32&lt;&gt;"",AQ30&lt;&gt;""),"継続で適用",""))</f>
        <v/>
      </c>
      <c r="AR32" s="1349"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
      </c>
      <c r="AW32" s="1336"/>
      <c r="AX32" s="1339"/>
      <c r="AY32" s="175"/>
      <c r="AZ32" s="175"/>
      <c r="BA32" s="175"/>
      <c r="BB32" s="175"/>
      <c r="BC32" s="175"/>
      <c r="BD32" s="175"/>
      <c r="BE32" s="175"/>
      <c r="BF32" s="175"/>
      <c r="BG32" s="175"/>
      <c r="BH32" s="175"/>
      <c r="BI32" s="175"/>
      <c r="BJ32" s="175"/>
      <c r="BK32" s="175"/>
      <c r="BL32" s="555" t="str">
        <f>G30</f>
        <v/>
      </c>
    </row>
    <row r="33" spans="1:64" ht="30" customHeight="1" thickBot="1">
      <c r="A33" s="1316"/>
      <c r="B33" s="1439"/>
      <c r="C33" s="1440"/>
      <c r="D33" s="1440"/>
      <c r="E33" s="1440"/>
      <c r="F33" s="1441"/>
      <c r="G33" s="1269"/>
      <c r="H33" s="1269"/>
      <c r="I33" s="1269"/>
      <c r="J33" s="1444"/>
      <c r="K33" s="1269"/>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66"/>
      <c r="AI33" s="1368"/>
      <c r="AJ33" s="1453"/>
      <c r="AK33" s="1372"/>
      <c r="AL33" s="1362"/>
      <c r="AM33" s="1374"/>
      <c r="AN33" s="1346"/>
      <c r="AO33" s="1346"/>
      <c r="AP33" s="1392"/>
      <c r="AQ33" s="1346"/>
      <c r="AR33" s="1350"/>
      <c r="AS33" s="1346"/>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
      </c>
    </row>
    <row r="34" spans="1:64" ht="30" customHeight="1">
      <c r="A34" s="1325">
        <v>6</v>
      </c>
      <c r="B34" s="1301" t="str">
        <f>IF(基本情報入力シート!C59="","",基本情報入力シート!C59)</f>
        <v/>
      </c>
      <c r="C34" s="1302"/>
      <c r="D34" s="1302"/>
      <c r="E34" s="1302"/>
      <c r="F34" s="1303"/>
      <c r="G34" s="1268" t="str">
        <f>IF(基本情報入力シート!M59="","",基本情報入力シート!M59)</f>
        <v/>
      </c>
      <c r="H34" s="1268" t="str">
        <f>IF(基本情報入力シート!R59="","",基本情報入力シート!R59)</f>
        <v/>
      </c>
      <c r="I34" s="1268" t="str">
        <f>IF(基本情報入力シート!W59="","",基本情報入力シート!W59)</f>
        <v/>
      </c>
      <c r="J34" s="1443" t="str">
        <f>IF(基本情報入力シート!X59="","",基本情報入力シート!X59)</f>
        <v/>
      </c>
      <c r="K34" s="1268" t="str">
        <f>IF(基本情報入力シート!Y59="","",基本情報入力シート!Y59)</f>
        <v/>
      </c>
      <c r="L34" s="1274" t="str">
        <f>IF(基本情報入力シート!AB59="","",基本情報入力シート!AB59)</f>
        <v/>
      </c>
      <c r="M34" s="1445" t="str">
        <f>IF(基本情報入力シート!AC59="","",基本情報入力シート!AC59)</f>
        <v/>
      </c>
      <c r="N34" s="659"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2173</v>
      </c>
      <c r="U34" s="1433"/>
      <c r="V34" s="1435" t="str">
        <f>IFERROR(VLOOKUP(K34,【参考】数式用!$A$5:$AB$27,MATCH(U34,【参考】数式用!$B$4:$AB$4,0)+1,0),"")</f>
        <v/>
      </c>
      <c r="W34" s="1437" t="s">
        <v>19</v>
      </c>
      <c r="X34" s="1375">
        <v>6</v>
      </c>
      <c r="Y34" s="1377" t="s">
        <v>10</v>
      </c>
      <c r="Z34" s="1375">
        <v>6</v>
      </c>
      <c r="AA34" s="1377" t="s">
        <v>45</v>
      </c>
      <c r="AB34" s="1375">
        <v>7</v>
      </c>
      <c r="AC34" s="1377" t="s">
        <v>10</v>
      </c>
      <c r="AD34" s="1375">
        <v>3</v>
      </c>
      <c r="AE34" s="1377" t="s">
        <v>2172</v>
      </c>
      <c r="AF34" s="1377" t="s">
        <v>24</v>
      </c>
      <c r="AG34" s="1377">
        <f>IF(X34&gt;=1,(AB34*12+AD34)-(X34*12+Z34)+1,"")</f>
        <v>10</v>
      </c>
      <c r="AH34" s="1379" t="s">
        <v>38</v>
      </c>
      <c r="AI34" s="1381" t="str">
        <f>IFERROR(ROUNDDOWN(ROUND(L34*V34,0)*M34,0)*AG34,"")</f>
        <v/>
      </c>
      <c r="AJ34" s="1383" t="str">
        <f>IFERROR(ROUNDDOWN(ROUND((L34*(V34-AX34)),0)*M34,0)*AG34,"")</f>
        <v/>
      </c>
      <c r="AK34" s="1385">
        <f>IFERROR(IF(OR(N34="",N35="",N37=""),0,ROUNDDOWN(ROUNDDOWN(ROUND(L34*VLOOKUP(K34,【参考】数式用!$A$5:$AB$27,MATCH("新加算Ⅳ",【参考】数式用!$B$4:$AB$4,0)+1,0),0)*M34,0)*AG34*0.5,0)),"")</f>
        <v>0</v>
      </c>
      <c r="AL34" s="1363"/>
      <c r="AM34" s="1387">
        <f>IFERROR(IF(OR(N37="ベア加算",N37=""),0, IF(OR(U34="新加算Ⅰ",U34="新加算Ⅱ",U34="新加算Ⅲ",U34="新加算Ⅳ"),ROUNDDOWN(ROUND(L34*VLOOKUP(K34,【参考】数式用!$A$5:$I$27,MATCH("ベア加算",【参考】数式用!$B$4:$I$4,0)+1,0),0)*M34,0)*AG34,0)),"")</f>
        <v>0</v>
      </c>
      <c r="AN34" s="1359"/>
      <c r="AO34" s="1389"/>
      <c r="AP34" s="1393"/>
      <c r="AQ34" s="1393"/>
      <c r="AR34" s="1395"/>
      <c r="AS34" s="1347"/>
      <c r="AT34" s="568" t="str">
        <f t="shared" si="0"/>
        <v/>
      </c>
      <c r="AU34" s="663"/>
      <c r="AV34" s="1335" t="str">
        <f>IF(K34&lt;&gt;"","V列に色付け","")</f>
        <v/>
      </c>
      <c r="AW34" s="664" t="str">
        <f>IF('別紙様式2-2（４・５月分）'!O29="","",'別紙様式2-2（４・５月分）'!O29)</f>
        <v/>
      </c>
      <c r="AX34" s="1341" t="str">
        <f>IF(SUM('別紙様式2-2（４・５月分）'!P29:P31)=0,"",SUM('別紙様式2-2（４・５月分）'!P29:P31))</f>
        <v/>
      </c>
      <c r="AY34" s="1338" t="str">
        <f>IFERROR(VLOOKUP(K34,【参考】数式用!$AJ$2:$AK$24,2,FALSE),"")</f>
        <v/>
      </c>
      <c r="AZ34" s="1247" t="s">
        <v>2098</v>
      </c>
      <c r="BA34" s="1247" t="s">
        <v>2099</v>
      </c>
      <c r="BB34" s="1247" t="s">
        <v>2100</v>
      </c>
      <c r="BC34" s="1247" t="s">
        <v>2101</v>
      </c>
      <c r="BD34" s="1247" t="str">
        <f>IF(AND(P34&lt;&gt;"新加算Ⅰ",P34&lt;&gt;"新加算Ⅱ",P34&lt;&gt;"新加算Ⅲ",P34&lt;&gt;"新加算Ⅳ"),P34,IF(Q36&lt;&gt;"",Q36,""))</f>
        <v/>
      </c>
      <c r="BE34" s="1247"/>
      <c r="BF34" s="1247" t="str">
        <f t="shared" ref="BF34" si="13">IF(AM34&lt;&gt;0,IF(AN34="○","入力済","未入力"),"")</f>
        <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
      </c>
      <c r="BJ34" s="135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5" t="str">
        <f>IF(OR(U34="新加算Ⅰ",U34="新加算Ⅴ（１）",U34="新加算Ⅴ（２）",U34="新加算Ⅴ（５）",U34="新加算Ⅴ（７）",U34="新加算Ⅴ（10）"),IF(AS34="","未入力","入力済"),"")</f>
        <v/>
      </c>
      <c r="BL34" s="555" t="str">
        <f>G34</f>
        <v/>
      </c>
    </row>
    <row r="35" spans="1:64" ht="15" customHeight="1">
      <c r="A35" s="1315"/>
      <c r="B35" s="1301"/>
      <c r="C35" s="1302"/>
      <c r="D35" s="1302"/>
      <c r="E35" s="1302"/>
      <c r="F35" s="1303"/>
      <c r="G35" s="1268"/>
      <c r="H35" s="1268"/>
      <c r="I35" s="1268"/>
      <c r="J35" s="1443"/>
      <c r="K35" s="1268"/>
      <c r="L35" s="1274"/>
      <c r="M35" s="1445"/>
      <c r="N35" s="1399" t="str">
        <f>IF('別紙様式2-2（４・５月分）'!Q30="","",'別紙様式2-2（４・５月分）'!Q30)</f>
        <v/>
      </c>
      <c r="O35" s="1420"/>
      <c r="P35" s="1426"/>
      <c r="Q35" s="1427"/>
      <c r="R35" s="1428"/>
      <c r="S35" s="1430"/>
      <c r="T35" s="1432"/>
      <c r="U35" s="1434"/>
      <c r="V35" s="1436"/>
      <c r="W35" s="1438"/>
      <c r="X35" s="1376"/>
      <c r="Y35" s="1378"/>
      <c r="Z35" s="1376"/>
      <c r="AA35" s="1378"/>
      <c r="AB35" s="1376"/>
      <c r="AC35" s="1378"/>
      <c r="AD35" s="1376"/>
      <c r="AE35" s="1378"/>
      <c r="AF35" s="1378"/>
      <c r="AG35" s="1378"/>
      <c r="AH35" s="1380"/>
      <c r="AI35" s="1382"/>
      <c r="AJ35" s="1384"/>
      <c r="AK35" s="1386"/>
      <c r="AL35" s="1364"/>
      <c r="AM35" s="1388"/>
      <c r="AN35" s="1360"/>
      <c r="AO35" s="1390"/>
      <c r="AP35" s="1394"/>
      <c r="AQ35" s="1394"/>
      <c r="AR35" s="1396"/>
      <c r="AS35" s="1348"/>
      <c r="AT35" s="1334" t="str">
        <f t="shared" si="2"/>
        <v/>
      </c>
      <c r="AU35" s="663"/>
      <c r="AV35" s="1335"/>
      <c r="AW35" s="1336" t="str">
        <f>IF('別紙様式2-2（４・５月分）'!O30="","",'別紙様式2-2（４・５月分）'!O30)</f>
        <v/>
      </c>
      <c r="AX35" s="1339"/>
      <c r="AY35" s="1338"/>
      <c r="AZ35" s="1247"/>
      <c r="BA35" s="1247"/>
      <c r="BB35" s="1247"/>
      <c r="BC35" s="1247"/>
      <c r="BD35" s="1247"/>
      <c r="BE35" s="1247"/>
      <c r="BF35" s="1247"/>
      <c r="BG35" s="1247"/>
      <c r="BH35" s="1247"/>
      <c r="BI35" s="1247"/>
      <c r="BJ35" s="1355"/>
      <c r="BK35" s="1335"/>
      <c r="BL35" s="555" t="str">
        <f>G34</f>
        <v/>
      </c>
    </row>
    <row r="36" spans="1:64" ht="15" customHeight="1">
      <c r="A36" s="1326"/>
      <c r="B36" s="1301"/>
      <c r="C36" s="1302"/>
      <c r="D36" s="1302"/>
      <c r="E36" s="1302"/>
      <c r="F36" s="1303"/>
      <c r="G36" s="1268"/>
      <c r="H36" s="1268"/>
      <c r="I36" s="1268"/>
      <c r="J36" s="1443"/>
      <c r="K36" s="1268"/>
      <c r="L36" s="1274"/>
      <c r="M36" s="1445"/>
      <c r="N36" s="1400"/>
      <c r="O36" s="1421"/>
      <c r="P36" s="1401" t="s">
        <v>2179</v>
      </c>
      <c r="Q36" s="1403" t="str">
        <f>IFERROR(VLOOKUP('別紙様式2-2（４・５月分）'!AR29,【参考】数式用!$AT$5:$AV$22,3,FALSE),"")</f>
        <v/>
      </c>
      <c r="R36" s="1405" t="s">
        <v>2190</v>
      </c>
      <c r="S36" s="1447" t="str">
        <f>IFERROR(VLOOKUP(K34,【参考】数式用!$A$5:$AB$27,MATCH(Q36,【参考】数式用!$B$4:$AB$4,0)+1,0),"")</f>
        <v/>
      </c>
      <c r="T36" s="1409" t="s">
        <v>217</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2172</v>
      </c>
      <c r="AF36" s="1397" t="s">
        <v>24</v>
      </c>
      <c r="AG36" s="1397">
        <f>IF(X36&gt;=1,(AB36*12+AD36)-(X36*12+Z36)+1,"")</f>
        <v>12</v>
      </c>
      <c r="AH36" s="1365" t="s">
        <v>38</v>
      </c>
      <c r="AI36" s="1367" t="str">
        <f>IFERROR(ROUNDDOWN(ROUND(L34*V36,0)*M34,0)*AG36,"")</f>
        <v/>
      </c>
      <c r="AJ36" s="1452" t="str">
        <f>IFERROR(ROUNDDOWN(ROUND((L34*(V36-AX34)),0)*M34,0)*AG36,"")</f>
        <v/>
      </c>
      <c r="AK36" s="1371">
        <f>IFERROR(IF(OR(N34="",N35="",N37=""),0,ROUNDDOWN(ROUNDDOWN(ROUND(L34*VLOOKUP(K34,【参考】数式用!$A$5:$AB$27,MATCH("新加算Ⅳ",【参考】数式用!$B$4:$AB$4,0)+1,0),0)*M34,0)*AG36*0.5,0)),"")</f>
        <v>0</v>
      </c>
      <c r="AL36" s="1361" t="str">
        <f t="shared" ref="AL36" si="14">IF(U36&lt;&gt;"","新規に適用","")</f>
        <v/>
      </c>
      <c r="AM36" s="1373">
        <f>IFERROR(IF(OR(N37="ベア加算",N37=""),0, IF(OR(U34="新加算Ⅰ",U34="新加算Ⅱ",U34="新加算Ⅲ",U34="新加算Ⅳ"),0,ROUNDDOWN(ROUND(L34*VLOOKUP(K34,【参考】数式用!$A$5:$I$27,MATCH("ベア加算",【参考】数式用!$B$4:$I$4,0)+1,0),0)*M34,0)*AG36)),"")</f>
        <v>0</v>
      </c>
      <c r="AN36" s="1345" t="str">
        <f>IF(AND(U36&lt;&gt;"",AN34=""),"新規に適用",IF(AND(U36&lt;&gt;"",AN34&lt;&gt;""),"継続で適用",""))</f>
        <v/>
      </c>
      <c r="AO36" s="1345" t="str">
        <f>IF(AND(U36&lt;&gt;"",AO34=""),"新規に適用",IF(AND(U36&lt;&gt;"",AO34&lt;&gt;""),"継続で適用",""))</f>
        <v/>
      </c>
      <c r="AP36" s="1391"/>
      <c r="AQ36" s="1345" t="str">
        <f>IF(AND(U36&lt;&gt;"",AQ34=""),"新規に適用",IF(AND(U36&lt;&gt;"",AQ34&lt;&gt;""),"継続で適用",""))</f>
        <v/>
      </c>
      <c r="AR36" s="1349"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
      </c>
      <c r="AW36" s="1336"/>
      <c r="AX36" s="1339"/>
      <c r="AY36" s="175"/>
      <c r="AZ36" s="175"/>
      <c r="BA36" s="175"/>
      <c r="BB36" s="175"/>
      <c r="BC36" s="175"/>
      <c r="BD36" s="175"/>
      <c r="BE36" s="175"/>
      <c r="BF36" s="175"/>
      <c r="BG36" s="175"/>
      <c r="BH36" s="175"/>
      <c r="BI36" s="175"/>
      <c r="BJ36" s="175"/>
      <c r="BK36" s="175"/>
      <c r="BL36" s="555" t="str">
        <f>G34</f>
        <v/>
      </c>
    </row>
    <row r="37" spans="1:64" ht="30" customHeight="1" thickBot="1">
      <c r="A37" s="1316"/>
      <c r="B37" s="1439"/>
      <c r="C37" s="1509"/>
      <c r="D37" s="1440"/>
      <c r="E37" s="1440"/>
      <c r="F37" s="1441"/>
      <c r="G37" s="1269"/>
      <c r="H37" s="1269"/>
      <c r="I37" s="1269"/>
      <c r="J37" s="1444"/>
      <c r="K37" s="1269"/>
      <c r="L37" s="1275"/>
      <c r="M37" s="1446"/>
      <c r="N37" s="662" t="str">
        <f>IF('別紙様式2-2（４・５月分）'!Q31="","",'別紙様式2-2（４・５月分）'!Q31)</f>
        <v/>
      </c>
      <c r="O37" s="1422"/>
      <c r="P37" s="1402"/>
      <c r="Q37" s="1404"/>
      <c r="R37" s="1406"/>
      <c r="S37" s="1408"/>
      <c r="T37" s="1410"/>
      <c r="U37" s="1412"/>
      <c r="V37" s="1414"/>
      <c r="W37" s="1416"/>
      <c r="X37" s="1451"/>
      <c r="Y37" s="1398"/>
      <c r="Z37" s="1451"/>
      <c r="AA37" s="1398"/>
      <c r="AB37" s="1451"/>
      <c r="AC37" s="1398"/>
      <c r="AD37" s="1451"/>
      <c r="AE37" s="1398"/>
      <c r="AF37" s="1398"/>
      <c r="AG37" s="1398"/>
      <c r="AH37" s="1366"/>
      <c r="AI37" s="1368"/>
      <c r="AJ37" s="1453"/>
      <c r="AK37" s="1372"/>
      <c r="AL37" s="1362"/>
      <c r="AM37" s="1374"/>
      <c r="AN37" s="1346"/>
      <c r="AO37" s="1346"/>
      <c r="AP37" s="1392"/>
      <c r="AQ37" s="1346"/>
      <c r="AR37" s="1350"/>
      <c r="AS37" s="1346"/>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
      </c>
      <c r="AX37" s="1340"/>
      <c r="AY37" s="175"/>
      <c r="AZ37" s="175"/>
      <c r="BA37" s="175"/>
      <c r="BB37" s="175"/>
      <c r="BC37" s="175"/>
      <c r="BD37" s="175"/>
      <c r="BE37" s="175"/>
      <c r="BF37" s="175"/>
      <c r="BG37" s="175"/>
      <c r="BH37" s="175"/>
      <c r="BI37" s="175"/>
      <c r="BJ37" s="175"/>
      <c r="BK37" s="175"/>
      <c r="BL37" s="555" t="str">
        <f>G34</f>
        <v/>
      </c>
    </row>
    <row r="38" spans="1:64" ht="30" customHeight="1">
      <c r="A38" s="1314">
        <v>7</v>
      </c>
      <c r="B38" s="1298" t="str">
        <f>IF(基本情報入力シート!C60="","",基本情報入力シート!C60)</f>
        <v/>
      </c>
      <c r="C38" s="1299"/>
      <c r="D38" s="1299"/>
      <c r="E38" s="1299"/>
      <c r="F38" s="1300"/>
      <c r="G38" s="1267" t="str">
        <f>IF(基本情報入力シート!M60="","",基本情報入力シート!M60)</f>
        <v/>
      </c>
      <c r="H38" s="1267" t="str">
        <f>IF(基本情報入力シート!R60="","",基本情報入力シート!R60)</f>
        <v/>
      </c>
      <c r="I38" s="1267" t="str">
        <f>IF(基本情報入力シート!W60="","",基本情報入力シート!W60)</f>
        <v/>
      </c>
      <c r="J38" s="1442" t="str">
        <f>IF(基本情報入力シート!X60="","",基本情報入力シート!X60)</f>
        <v/>
      </c>
      <c r="K38" s="1267" t="str">
        <f>IF(基本情報入力シート!Y60="","",基本情報入力シート!Y60)</f>
        <v/>
      </c>
      <c r="L38" s="1273" t="str">
        <f>IF(基本情報入力シート!AB60="","",基本情報入力シート!AB60)</f>
        <v/>
      </c>
      <c r="M38" s="1276" t="str">
        <f>IF(基本情報入力シート!AC60="","",基本情報入力シート!AC60)</f>
        <v/>
      </c>
      <c r="N38" s="659"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2173</v>
      </c>
      <c r="U38" s="1433"/>
      <c r="V38" s="1435" t="str">
        <f>IFERROR(VLOOKUP(K38,【参考】数式用!$A$5:$AB$27,MATCH(U38,【参考】数式用!$B$4:$AB$4,0)+1,0),"")</f>
        <v/>
      </c>
      <c r="W38" s="1437" t="s">
        <v>19</v>
      </c>
      <c r="X38" s="1375">
        <v>6</v>
      </c>
      <c r="Y38" s="1377" t="s">
        <v>10</v>
      </c>
      <c r="Z38" s="1375">
        <v>6</v>
      </c>
      <c r="AA38" s="1377" t="s">
        <v>45</v>
      </c>
      <c r="AB38" s="1375">
        <v>7</v>
      </c>
      <c r="AC38" s="1377" t="s">
        <v>10</v>
      </c>
      <c r="AD38" s="1375">
        <v>3</v>
      </c>
      <c r="AE38" s="1377" t="s">
        <v>13</v>
      </c>
      <c r="AF38" s="1377" t="s">
        <v>24</v>
      </c>
      <c r="AG38" s="1377">
        <f>IF(X38&gt;=1,(AB38*12+AD38)-(X38*12+Z38)+1,"")</f>
        <v>10</v>
      </c>
      <c r="AH38" s="1379" t="s">
        <v>38</v>
      </c>
      <c r="AI38" s="1381" t="str">
        <f>IFERROR(ROUNDDOWN(ROUND(L38*V38,0)*M38,0)*AG38,"")</f>
        <v/>
      </c>
      <c r="AJ38" s="1383" t="str">
        <f>IFERROR(ROUNDDOWN(ROUND((L38*(V38-AX38)),0)*M38,0)*AG38,"")</f>
        <v/>
      </c>
      <c r="AK38" s="1385">
        <f>IFERROR(IF(OR(N38="",N39="",N41=""),0,ROUNDDOWN(ROUNDDOWN(ROUND(L38*VLOOKUP(K38,【参考】数式用!$A$5:$AB$27,MATCH("新加算Ⅳ",【参考】数式用!$B$4:$AB$4,0)+1,0),0)*M38,0)*AG38*0.5,0)),"")</f>
        <v>0</v>
      </c>
      <c r="AL38" s="1363"/>
      <c r="AM38" s="1387">
        <f>IFERROR(IF(OR(N41="ベア加算",N41=""),0, IF(OR(U38="新加算Ⅰ",U38="新加算Ⅱ",U38="新加算Ⅲ",U38="新加算Ⅳ"),ROUNDDOWN(ROUND(L38*VLOOKUP(K38,【参考】数式用!$A$5:$I$27,MATCH("ベア加算",【参考】数式用!$B$4:$I$4,0)+1,0),0)*M38,0)*AG38,0)),"")</f>
        <v>0</v>
      </c>
      <c r="AN38" s="1359"/>
      <c r="AO38" s="1389"/>
      <c r="AP38" s="1393"/>
      <c r="AQ38" s="1393"/>
      <c r="AR38" s="1395"/>
      <c r="AS38" s="1347"/>
      <c r="AT38" s="568" t="str">
        <f t="shared" si="0"/>
        <v/>
      </c>
      <c r="AU38" s="663"/>
      <c r="AV38" s="1335" t="str">
        <f>IF(K38&lt;&gt;"","V列に色付け","")</f>
        <v/>
      </c>
      <c r="AW38" s="664" t="str">
        <f>IF('別紙様式2-2（４・５月分）'!O32="","",'別紙様式2-2（４・５月分）'!O32)</f>
        <v/>
      </c>
      <c r="AX38" s="1337" t="str">
        <f>IF(SUM('別紙様式2-2（４・５月分）'!P32:P34)=0,"",SUM('別紙様式2-2（４・５月分）'!P32:P34))</f>
        <v/>
      </c>
      <c r="AY38" s="1338" t="str">
        <f>IFERROR(VLOOKUP(K38,【参考】数式用!$AJ$2:$AK$24,2,FALSE),"")</f>
        <v/>
      </c>
      <c r="AZ38" s="1247" t="s">
        <v>2098</v>
      </c>
      <c r="BA38" s="1247" t="s">
        <v>2099</v>
      </c>
      <c r="BB38" s="1247" t="s">
        <v>2100</v>
      </c>
      <c r="BC38" s="1247" t="s">
        <v>2101</v>
      </c>
      <c r="BD38" s="1247" t="str">
        <f>IF(AND(P38&lt;&gt;"新加算Ⅰ",P38&lt;&gt;"新加算Ⅱ",P38&lt;&gt;"新加算Ⅲ",P38&lt;&gt;"新加算Ⅳ"),P38,IF(Q40&lt;&gt;"",Q40,""))</f>
        <v/>
      </c>
      <c r="BE38" s="1247"/>
      <c r="BF38" s="1247" t="str">
        <f t="shared" ref="BF38" si="17">IF(AM38&lt;&gt;0,IF(AN38="○","入力済","未入力"),"")</f>
        <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
      </c>
    </row>
    <row r="39" spans="1:64" ht="15" customHeight="1">
      <c r="A39" s="1315"/>
      <c r="B39" s="1301"/>
      <c r="C39" s="1302"/>
      <c r="D39" s="1302"/>
      <c r="E39" s="1302"/>
      <c r="F39" s="1303"/>
      <c r="G39" s="1268"/>
      <c r="H39" s="1268"/>
      <c r="I39" s="1268"/>
      <c r="J39" s="1443"/>
      <c r="K39" s="1268"/>
      <c r="L39" s="1274"/>
      <c r="M39" s="1277"/>
      <c r="N39" s="1399" t="str">
        <f>IF('別紙様式2-2（４・５月分）'!Q33="","",'別紙様式2-2（４・５月分）'!Q33)</f>
        <v/>
      </c>
      <c r="O39" s="1420"/>
      <c r="P39" s="1426"/>
      <c r="Q39" s="1427"/>
      <c r="R39" s="1428"/>
      <c r="S39" s="1430"/>
      <c r="T39" s="1432"/>
      <c r="U39" s="1434"/>
      <c r="V39" s="1436"/>
      <c r="W39" s="1438"/>
      <c r="X39" s="1376"/>
      <c r="Y39" s="1378"/>
      <c r="Z39" s="1376"/>
      <c r="AA39" s="1378"/>
      <c r="AB39" s="1376"/>
      <c r="AC39" s="1378"/>
      <c r="AD39" s="1376"/>
      <c r="AE39" s="1378"/>
      <c r="AF39" s="1378"/>
      <c r="AG39" s="1378"/>
      <c r="AH39" s="1380"/>
      <c r="AI39" s="1382"/>
      <c r="AJ39" s="1384"/>
      <c r="AK39" s="1386"/>
      <c r="AL39" s="1364"/>
      <c r="AM39" s="1388"/>
      <c r="AN39" s="1360"/>
      <c r="AO39" s="1390"/>
      <c r="AP39" s="1394"/>
      <c r="AQ39" s="1394"/>
      <c r="AR39" s="1396"/>
      <c r="AS39" s="1348"/>
      <c r="AT39" s="1334" t="str">
        <f t="shared" si="2"/>
        <v/>
      </c>
      <c r="AU39" s="663"/>
      <c r="AV39" s="1335"/>
      <c r="AW39" s="1336" t="str">
        <f>IF('別紙様式2-2（４・５月分）'!O33="","",'別紙様式2-2（４・５月分）'!O33)</f>
        <v/>
      </c>
      <c r="AX39" s="1337"/>
      <c r="AY39" s="1338"/>
      <c r="AZ39" s="1247"/>
      <c r="BA39" s="1247"/>
      <c r="BB39" s="1247"/>
      <c r="BC39" s="1247"/>
      <c r="BD39" s="1247"/>
      <c r="BE39" s="1247"/>
      <c r="BF39" s="1247"/>
      <c r="BG39" s="1247"/>
      <c r="BH39" s="1247"/>
      <c r="BI39" s="1247"/>
      <c r="BJ39" s="1355"/>
      <c r="BK39" s="1335"/>
      <c r="BL39" s="555" t="str">
        <f>G38</f>
        <v/>
      </c>
    </row>
    <row r="40" spans="1:64" ht="15" customHeight="1">
      <c r="A40" s="1326"/>
      <c r="B40" s="1301"/>
      <c r="C40" s="1302"/>
      <c r="D40" s="1302"/>
      <c r="E40" s="1302"/>
      <c r="F40" s="1303"/>
      <c r="G40" s="1268"/>
      <c r="H40" s="1268"/>
      <c r="I40" s="1268"/>
      <c r="J40" s="1443"/>
      <c r="K40" s="1268"/>
      <c r="L40" s="1274"/>
      <c r="M40" s="1277"/>
      <c r="N40" s="1400"/>
      <c r="O40" s="1421"/>
      <c r="P40" s="1401" t="s">
        <v>2179</v>
      </c>
      <c r="Q40" s="1403" t="str">
        <f>IFERROR(VLOOKUP('別紙様式2-2（４・５月分）'!AR32,【参考】数式用!$AT$5:$AV$22,3,FALSE),"")</f>
        <v/>
      </c>
      <c r="R40" s="1405" t="s">
        <v>2190</v>
      </c>
      <c r="S40" s="1407" t="str">
        <f>IFERROR(VLOOKUP(K38,【参考】数式用!$A$5:$AB$27,MATCH(Q40,【参考】数式用!$B$4:$AB$4,0)+1,0),"")</f>
        <v/>
      </c>
      <c r="T40" s="1409" t="s">
        <v>217</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5" t="s">
        <v>38</v>
      </c>
      <c r="AI40" s="1367" t="str">
        <f>IFERROR(ROUNDDOWN(ROUND(L38*V40,0)*M38,0)*AG40,"")</f>
        <v/>
      </c>
      <c r="AJ40" s="1369" t="str">
        <f>IFERROR(ROUNDDOWN(ROUND((L38*(V40-AX38)),0)*M38,0)*AG40,"")</f>
        <v/>
      </c>
      <c r="AK40" s="1371">
        <f>IFERROR(IF(OR(N38="",N39="",N41=""),0,ROUNDDOWN(ROUNDDOWN(ROUND(L38*VLOOKUP(K38,【参考】数式用!$A$5:$AB$27,MATCH("新加算Ⅳ",【参考】数式用!$B$4:$AB$4,0)+1,0),0)*M38,0)*AG40*0.5,0)),"")</f>
        <v>0</v>
      </c>
      <c r="AL40" s="1361" t="str">
        <f t="shared" ref="AL40" si="18">IF(U40&lt;&gt;"","新規に適用","")</f>
        <v/>
      </c>
      <c r="AM40" s="1373">
        <f>IFERROR(IF(OR(N41="ベア加算",N41=""),0, IF(OR(U38="新加算Ⅰ",U38="新加算Ⅱ",U38="新加算Ⅲ",U38="新加算Ⅳ"),0,ROUNDDOWN(ROUND(L38*VLOOKUP(K38,【参考】数式用!$A$5:$I$27,MATCH("ベア加算",【参考】数式用!$B$4:$I$4,0)+1,0),0)*M38,0)*AG40)),"")</f>
        <v>0</v>
      </c>
      <c r="AN40" s="1345" t="str">
        <f>IF(AND(U40&lt;&gt;"",AN38=""),"新規に適用",IF(AND(U40&lt;&gt;"",AN38&lt;&gt;""),"継続で適用",""))</f>
        <v/>
      </c>
      <c r="AO40" s="1345" t="str">
        <f>IF(AND(U40&lt;&gt;"",AO38=""),"新規に適用",IF(AND(U40&lt;&gt;"",AO38&lt;&gt;""),"継続で適用",""))</f>
        <v/>
      </c>
      <c r="AP40" s="1391"/>
      <c r="AQ40" s="1345" t="str">
        <f>IF(AND(U40&lt;&gt;"",AQ38=""),"新規に適用",IF(AND(U40&lt;&gt;"",AQ38&lt;&gt;""),"継続で適用",""))</f>
        <v/>
      </c>
      <c r="AR40" s="1349"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
      </c>
      <c r="AW40" s="1336"/>
      <c r="AX40" s="1337"/>
      <c r="AY40" s="175"/>
      <c r="AZ40" s="175"/>
      <c r="BA40" s="175"/>
      <c r="BB40" s="175"/>
      <c r="BC40" s="175"/>
      <c r="BD40" s="175"/>
      <c r="BE40" s="175"/>
      <c r="BF40" s="175"/>
      <c r="BG40" s="175"/>
      <c r="BH40" s="175"/>
      <c r="BI40" s="175"/>
      <c r="BJ40" s="175"/>
      <c r="BK40" s="175"/>
      <c r="BL40" s="555" t="str">
        <f>G38</f>
        <v/>
      </c>
    </row>
    <row r="41" spans="1:64" ht="30" customHeight="1" thickBot="1">
      <c r="A41" s="1316"/>
      <c r="B41" s="1439"/>
      <c r="C41" s="1440"/>
      <c r="D41" s="1440"/>
      <c r="E41" s="1440"/>
      <c r="F41" s="1441"/>
      <c r="G41" s="1269"/>
      <c r="H41" s="1269"/>
      <c r="I41" s="1269"/>
      <c r="J41" s="1444"/>
      <c r="K41" s="1269"/>
      <c r="L41" s="1275"/>
      <c r="M41" s="1278"/>
      <c r="N41" s="662" t="str">
        <f>IF('別紙様式2-2（４・５月分）'!Q34="","",'別紙様式2-2（４・５月分）'!Q34)</f>
        <v/>
      </c>
      <c r="O41" s="1422"/>
      <c r="P41" s="1402"/>
      <c r="Q41" s="1404"/>
      <c r="R41" s="1406"/>
      <c r="S41" s="1408"/>
      <c r="T41" s="1410"/>
      <c r="U41" s="1412"/>
      <c r="V41" s="1414"/>
      <c r="W41" s="1416"/>
      <c r="X41" s="1418"/>
      <c r="Y41" s="1398"/>
      <c r="Z41" s="1418"/>
      <c r="AA41" s="1398"/>
      <c r="AB41" s="1418"/>
      <c r="AC41" s="1398"/>
      <c r="AD41" s="1418"/>
      <c r="AE41" s="1398"/>
      <c r="AF41" s="1398"/>
      <c r="AG41" s="1398"/>
      <c r="AH41" s="1366"/>
      <c r="AI41" s="1368"/>
      <c r="AJ41" s="1370"/>
      <c r="AK41" s="1372"/>
      <c r="AL41" s="1362"/>
      <c r="AM41" s="1374"/>
      <c r="AN41" s="1346"/>
      <c r="AO41" s="1346"/>
      <c r="AP41" s="1392"/>
      <c r="AQ41" s="1346"/>
      <c r="AR41" s="1350"/>
      <c r="AS41" s="1346"/>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
      </c>
      <c r="AX41" s="1337"/>
      <c r="AY41" s="175"/>
      <c r="AZ41" s="175"/>
      <c r="BA41" s="175"/>
      <c r="BB41" s="175"/>
      <c r="BC41" s="175"/>
      <c r="BD41" s="175"/>
      <c r="BE41" s="175"/>
      <c r="BF41" s="175"/>
      <c r="BG41" s="175"/>
      <c r="BH41" s="175"/>
      <c r="BI41" s="175"/>
      <c r="BJ41" s="175"/>
      <c r="BK41" s="175"/>
      <c r="BL41" s="555" t="str">
        <f>G38</f>
        <v/>
      </c>
    </row>
    <row r="42" spans="1:64"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43" t="str">
        <f>IF(基本情報入力シート!X61="","",基本情報入力シート!X61)</f>
        <v/>
      </c>
      <c r="K42" s="1268" t="str">
        <f>IF(基本情報入力シート!Y61="","",基本情報入力シート!Y61)</f>
        <v/>
      </c>
      <c r="L42" s="1274"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2173</v>
      </c>
      <c r="U42" s="1433"/>
      <c r="V42" s="1435" t="str">
        <f>IFERROR(VLOOKUP(K42,【参考】数式用!$A$5:$AB$27,MATCH(U42,【参考】数式用!$B$4:$AB$4,0)+1,0),"")</f>
        <v/>
      </c>
      <c r="W42" s="1437" t="s">
        <v>19</v>
      </c>
      <c r="X42" s="1375">
        <v>6</v>
      </c>
      <c r="Y42" s="1377" t="s">
        <v>10</v>
      </c>
      <c r="Z42" s="1375">
        <v>6</v>
      </c>
      <c r="AA42" s="1377" t="s">
        <v>45</v>
      </c>
      <c r="AB42" s="1375">
        <v>7</v>
      </c>
      <c r="AC42" s="1377" t="s">
        <v>10</v>
      </c>
      <c r="AD42" s="1375">
        <v>3</v>
      </c>
      <c r="AE42" s="1377" t="s">
        <v>13</v>
      </c>
      <c r="AF42" s="1377" t="s">
        <v>24</v>
      </c>
      <c r="AG42" s="1377">
        <f>IF(X42&gt;=1,(AB42*12+AD42)-(X42*12+Z42)+1,"")</f>
        <v>10</v>
      </c>
      <c r="AH42" s="1379" t="s">
        <v>38</v>
      </c>
      <c r="AI42" s="1381" t="str">
        <f>IFERROR(ROUNDDOWN(ROUND(L42*V42,0)*M42,0)*AG42,"")</f>
        <v/>
      </c>
      <c r="AJ42" s="1383" t="str">
        <f>IFERROR(ROUNDDOWN(ROUND((L42*(V42-AX42)),0)*M42,0)*AG42,"")</f>
        <v/>
      </c>
      <c r="AK42" s="1385">
        <f>IFERROR(IF(OR(N42="",N43="",N45=""),0,ROUNDDOWN(ROUNDDOWN(ROUND(L42*VLOOKUP(K42,【参考】数式用!$A$5:$AB$27,MATCH("新加算Ⅳ",【参考】数式用!$B$4:$AB$4,0)+1,0),0)*M42,0)*AG42*0.5,0)),"")</f>
        <v>0</v>
      </c>
      <c r="AL42" s="1363"/>
      <c r="AM42" s="138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2098</v>
      </c>
      <c r="BA42" s="1247" t="s">
        <v>2099</v>
      </c>
      <c r="BB42" s="1247" t="s">
        <v>2100</v>
      </c>
      <c r="BC42" s="1247" t="s">
        <v>2101</v>
      </c>
      <c r="BD42" s="1247" t="str">
        <f>IF(AND(P42&lt;&gt;"新加算Ⅰ",P42&lt;&gt;"新加算Ⅱ",P42&lt;&gt;"新加算Ⅲ",P42&lt;&gt;"新加算Ⅳ"),P42,IF(Q44&lt;&gt;"",Q44,""))</f>
        <v/>
      </c>
      <c r="BE42" s="1247"/>
      <c r="BF42" s="1247" t="str">
        <f t="shared" ref="BF42" si="21">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315"/>
      <c r="B43" s="1301"/>
      <c r="C43" s="1302"/>
      <c r="D43" s="1302"/>
      <c r="E43" s="1302"/>
      <c r="F43" s="1303"/>
      <c r="G43" s="1268"/>
      <c r="H43" s="1268"/>
      <c r="I43" s="1268"/>
      <c r="J43" s="1443"/>
      <c r="K43" s="1268"/>
      <c r="L43" s="1274"/>
      <c r="M43" s="1445"/>
      <c r="N43" s="1399" t="str">
        <f>IF('別紙様式2-2（４・５月分）'!Q36="","",'別紙様式2-2（４・５月分）'!Q36)</f>
        <v/>
      </c>
      <c r="O43" s="1420"/>
      <c r="P43" s="1426"/>
      <c r="Q43" s="1427"/>
      <c r="R43" s="1428"/>
      <c r="S43" s="1430"/>
      <c r="T43" s="1432"/>
      <c r="U43" s="1434"/>
      <c r="V43" s="1436"/>
      <c r="W43" s="1438"/>
      <c r="X43" s="1376"/>
      <c r="Y43" s="1378"/>
      <c r="Z43" s="1376"/>
      <c r="AA43" s="1378"/>
      <c r="AB43" s="1376"/>
      <c r="AC43" s="1378"/>
      <c r="AD43" s="1376"/>
      <c r="AE43" s="1378"/>
      <c r="AF43" s="1378"/>
      <c r="AG43" s="1378"/>
      <c r="AH43" s="1380"/>
      <c r="AI43" s="1382"/>
      <c r="AJ43" s="1384"/>
      <c r="AK43" s="1386"/>
      <c r="AL43" s="1364"/>
      <c r="AM43" s="138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1"/>
      <c r="C44" s="1302"/>
      <c r="D44" s="1302"/>
      <c r="E44" s="1302"/>
      <c r="F44" s="1303"/>
      <c r="G44" s="1268"/>
      <c r="H44" s="1268"/>
      <c r="I44" s="1268"/>
      <c r="J44" s="1443"/>
      <c r="K44" s="1268"/>
      <c r="L44" s="1274"/>
      <c r="M44" s="1445"/>
      <c r="N44" s="1400"/>
      <c r="O44" s="1421"/>
      <c r="P44" s="1401" t="s">
        <v>2179</v>
      </c>
      <c r="Q44" s="1403" t="str">
        <f>IFERROR(VLOOKUP('別紙様式2-2（４・５月分）'!AR35,【参考】数式用!$AT$5:$AV$22,3,FALSE),"")</f>
        <v/>
      </c>
      <c r="R44" s="1405" t="s">
        <v>2190</v>
      </c>
      <c r="S44" s="1447" t="str">
        <f>IFERROR(VLOOKUP(K42,【参考】数式用!$A$5:$AB$27,MATCH(Q44,【参考】数式用!$B$4:$AB$4,0)+1,0),"")</f>
        <v/>
      </c>
      <c r="T44" s="1409" t="s">
        <v>217</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5" t="s">
        <v>38</v>
      </c>
      <c r="AI44" s="1367" t="str">
        <f>IFERROR(ROUNDDOWN(ROUND(L42*V44,0)*M42,0)*AG44,"")</f>
        <v/>
      </c>
      <c r="AJ44" s="1369" t="str">
        <f>IFERROR(ROUNDDOWN(ROUND((L42*(V44-AX42)),0)*M42,0)*AG44,"")</f>
        <v/>
      </c>
      <c r="AK44" s="1371">
        <f>IFERROR(IF(OR(N42="",N43="",N45=""),0,ROUNDDOWN(ROUNDDOWN(ROUND(L42*VLOOKUP(K42,【参考】数式用!$A$5:$AB$27,MATCH("新加算Ⅳ",【参考】数式用!$B$4:$AB$4,0)+1,0),0)*M42,0)*AG44*0.5,0)),"")</f>
        <v>0</v>
      </c>
      <c r="AL44" s="1361" t="str">
        <f t="shared" ref="AL44" si="22">IF(U44&lt;&gt;"","新規に適用","")</f>
        <v/>
      </c>
      <c r="AM44" s="1373">
        <f>IFERROR(IF(OR(N45="ベア加算",N45=""),0, IF(OR(U42="新加算Ⅰ",U42="新加算Ⅱ",U42="新加算Ⅲ",U42="新加算Ⅳ"),0,ROUNDDOWN(ROUND(L42*VLOOKUP(K42,【参考】数式用!$A$5:$I$27,MATCH("ベア加算",【参考】数式用!$B$4:$I$4,0)+1,0),0)*M42,0)*AG44)),"")</f>
        <v>0</v>
      </c>
      <c r="AN44" s="1345" t="str">
        <f>IF(AND(U44&lt;&gt;"",AN42=""),"新規に適用",IF(AND(U44&lt;&gt;"",AN42&lt;&gt;""),"継続で適用",""))</f>
        <v/>
      </c>
      <c r="AO44" s="1345" t="str">
        <f>IF(AND(U44&lt;&gt;"",AO42=""),"新規に適用",IF(AND(U44&lt;&gt;"",AO42&lt;&gt;""),"継続で適用",""))</f>
        <v/>
      </c>
      <c r="AP44" s="1391"/>
      <c r="AQ44" s="1345" t="str">
        <f>IF(AND(U44&lt;&gt;"",AQ42=""),"新規に適用",IF(AND(U44&lt;&gt;"",AQ42&lt;&gt;""),"継続で適用",""))</f>
        <v/>
      </c>
      <c r="AR44" s="1349" t="str">
        <f t="shared" si="19"/>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316"/>
      <c r="B45" s="1439"/>
      <c r="C45" s="1440"/>
      <c r="D45" s="1440"/>
      <c r="E45" s="1440"/>
      <c r="F45" s="1441"/>
      <c r="G45" s="1269"/>
      <c r="H45" s="1269"/>
      <c r="I45" s="1269"/>
      <c r="J45" s="1444"/>
      <c r="K45" s="1269"/>
      <c r="L45" s="1275"/>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66"/>
      <c r="AI45" s="1368"/>
      <c r="AJ45" s="1370"/>
      <c r="AK45" s="1372"/>
      <c r="AL45" s="1362"/>
      <c r="AM45" s="1374"/>
      <c r="AN45" s="1346"/>
      <c r="AO45" s="1346"/>
      <c r="AP45" s="1392"/>
      <c r="AQ45" s="1346"/>
      <c r="AR45" s="1350"/>
      <c r="AS45" s="1346"/>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314">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4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2173</v>
      </c>
      <c r="U46" s="1433"/>
      <c r="V46" s="1435" t="str">
        <f>IFERROR(VLOOKUP(K46,【参考】数式用!$A$5:$AB$27,MATCH(U46,【参考】数式用!$B$4:$AB$4,0)+1,0),"")</f>
        <v/>
      </c>
      <c r="W46" s="1437" t="s">
        <v>19</v>
      </c>
      <c r="X46" s="1375">
        <v>6</v>
      </c>
      <c r="Y46" s="1377" t="s">
        <v>10</v>
      </c>
      <c r="Z46" s="1375">
        <v>6</v>
      </c>
      <c r="AA46" s="1377" t="s">
        <v>45</v>
      </c>
      <c r="AB46" s="1375">
        <v>7</v>
      </c>
      <c r="AC46" s="1377" t="s">
        <v>10</v>
      </c>
      <c r="AD46" s="1375">
        <v>3</v>
      </c>
      <c r="AE46" s="1377" t="s">
        <v>13</v>
      </c>
      <c r="AF46" s="1377" t="s">
        <v>24</v>
      </c>
      <c r="AG46" s="1377">
        <f>IF(X46&gt;=1,(AB46*12+AD46)-(X46*12+Z46)+1,"")</f>
        <v>10</v>
      </c>
      <c r="AH46" s="1379" t="s">
        <v>38</v>
      </c>
      <c r="AI46" s="1381" t="str">
        <f>IFERROR(ROUNDDOWN(ROUND(L46*V46,0)*M46,0)*AG46,"")</f>
        <v/>
      </c>
      <c r="AJ46" s="1383" t="str">
        <f>IFERROR(ROUNDDOWN(ROUND((L46*(V46-AX46)),0)*M46,0)*AG46,"")</f>
        <v/>
      </c>
      <c r="AK46" s="1385">
        <f>IFERROR(IF(OR(N46="",N47="",N49=""),0,ROUNDDOWN(ROUNDDOWN(ROUND(L46*VLOOKUP(K46,【参考】数式用!$A$5:$AB$27,MATCH("新加算Ⅳ",【参考】数式用!$B$4:$AB$4,0)+1,0),0)*M46,0)*AG46*0.5,0)),"")</f>
        <v>0</v>
      </c>
      <c r="AL46" s="1363"/>
      <c r="AM46" s="138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2098</v>
      </c>
      <c r="BA46" s="1247" t="s">
        <v>2099</v>
      </c>
      <c r="BB46" s="1247" t="s">
        <v>2100</v>
      </c>
      <c r="BC46" s="1247" t="s">
        <v>2101</v>
      </c>
      <c r="BD46" s="1247" t="str">
        <f>IF(AND(P46&lt;&gt;"新加算Ⅰ",P46&lt;&gt;"新加算Ⅱ",P46&lt;&gt;"新加算Ⅲ",P46&lt;&gt;"新加算Ⅳ"),P46,IF(Q48&lt;&gt;"",Q48,""))</f>
        <v/>
      </c>
      <c r="BE46" s="1247"/>
      <c r="BF46" s="1247" t="str">
        <f t="shared" ref="BF46" si="24">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315"/>
      <c r="B47" s="1301"/>
      <c r="C47" s="1302"/>
      <c r="D47" s="1302"/>
      <c r="E47" s="1302"/>
      <c r="F47" s="1303"/>
      <c r="G47" s="1268"/>
      <c r="H47" s="1268"/>
      <c r="I47" s="1268"/>
      <c r="J47" s="1443"/>
      <c r="K47" s="1268"/>
      <c r="L47" s="1274"/>
      <c r="M47" s="1277"/>
      <c r="N47" s="1399" t="str">
        <f>IF('別紙様式2-2（４・５月分）'!Q39="","",'別紙様式2-2（４・５月分）'!Q39)</f>
        <v/>
      </c>
      <c r="O47" s="1420"/>
      <c r="P47" s="1426"/>
      <c r="Q47" s="1427"/>
      <c r="R47" s="1428"/>
      <c r="S47" s="1430"/>
      <c r="T47" s="1432"/>
      <c r="U47" s="1434"/>
      <c r="V47" s="1436"/>
      <c r="W47" s="1438"/>
      <c r="X47" s="1376"/>
      <c r="Y47" s="1378"/>
      <c r="Z47" s="1376"/>
      <c r="AA47" s="1378"/>
      <c r="AB47" s="1376"/>
      <c r="AC47" s="1378"/>
      <c r="AD47" s="1376"/>
      <c r="AE47" s="1378"/>
      <c r="AF47" s="1378"/>
      <c r="AG47" s="1378"/>
      <c r="AH47" s="1380"/>
      <c r="AI47" s="1382"/>
      <c r="AJ47" s="1384"/>
      <c r="AK47" s="1386"/>
      <c r="AL47" s="1364"/>
      <c r="AM47" s="138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1"/>
      <c r="C48" s="1302"/>
      <c r="D48" s="1302"/>
      <c r="E48" s="1302"/>
      <c r="F48" s="1303"/>
      <c r="G48" s="1268"/>
      <c r="H48" s="1268"/>
      <c r="I48" s="1268"/>
      <c r="J48" s="1443"/>
      <c r="K48" s="1268"/>
      <c r="L48" s="1274"/>
      <c r="M48" s="1277"/>
      <c r="N48" s="1400"/>
      <c r="O48" s="1421"/>
      <c r="P48" s="1401" t="s">
        <v>2179</v>
      </c>
      <c r="Q48" s="1403" t="str">
        <f>IFERROR(VLOOKUP('別紙様式2-2（４・５月分）'!AR38,【参考】数式用!$AT$5:$AV$22,3,FALSE),"")</f>
        <v/>
      </c>
      <c r="R48" s="1405" t="s">
        <v>2190</v>
      </c>
      <c r="S48" s="1407" t="str">
        <f>IFERROR(VLOOKUP(K46,【参考】数式用!$A$5:$AB$27,MATCH(Q48,【参考】数式用!$B$4:$AB$4,0)+1,0),"")</f>
        <v/>
      </c>
      <c r="T48" s="1409" t="s">
        <v>217</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5" t="s">
        <v>38</v>
      </c>
      <c r="AI48" s="1367" t="str">
        <f>IFERROR(ROUNDDOWN(ROUND(L46*V48,0)*M46,0)*AG48,"")</f>
        <v/>
      </c>
      <c r="AJ48" s="1369" t="str">
        <f>IFERROR(ROUNDDOWN(ROUND((L46*(V48-AX46)),0)*M46,0)*AG48,"")</f>
        <v/>
      </c>
      <c r="AK48" s="1371">
        <f>IFERROR(IF(OR(N46="",N47="",N49=""),0,ROUNDDOWN(ROUNDDOWN(ROUND(L46*VLOOKUP(K46,【参考】数式用!$A$5:$AB$27,MATCH("新加算Ⅳ",【参考】数式用!$B$4:$AB$4,0)+1,0),0)*M46,0)*AG48*0.5,0)),"")</f>
        <v>0</v>
      </c>
      <c r="AL48" s="1361" t="str">
        <f t="shared" ref="AL48" si="25">IF(U48&lt;&gt;"","新規に適用","")</f>
        <v/>
      </c>
      <c r="AM48" s="1373">
        <f>IFERROR(IF(OR(N49="ベア加算",N49=""),0, IF(OR(U46="新加算Ⅰ",U46="新加算Ⅱ",U46="新加算Ⅲ",U46="新加算Ⅳ"),0,ROUNDDOWN(ROUND(L46*VLOOKUP(K46,【参考】数式用!$A$5:$I$27,MATCH("ベア加算",【参考】数式用!$B$4:$I$4,0)+1,0),0)*M46,0)*AG48)),"")</f>
        <v>0</v>
      </c>
      <c r="AN48" s="1345" t="str">
        <f>IF(AND(U48&lt;&gt;"",AN46=""),"新規に適用",IF(AND(U48&lt;&gt;"",AN46&lt;&gt;""),"継続で適用",""))</f>
        <v/>
      </c>
      <c r="AO48" s="1345" t="str">
        <f>IF(AND(U48&lt;&gt;"",AO46=""),"新規に適用",IF(AND(U48&lt;&gt;"",AO46&lt;&gt;""),"継続で適用",""))</f>
        <v/>
      </c>
      <c r="AP48" s="1391"/>
      <c r="AQ48" s="1345" t="str">
        <f>IF(AND(U48&lt;&gt;"",AQ46=""),"新規に適用",IF(AND(U48&lt;&gt;"",AQ46&lt;&gt;""),"継続で適用",""))</f>
        <v/>
      </c>
      <c r="AR48" s="1349" t="str">
        <f t="shared" si="19"/>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316"/>
      <c r="B49" s="1439"/>
      <c r="C49" s="1440"/>
      <c r="D49" s="1440"/>
      <c r="E49" s="1440"/>
      <c r="F49" s="1441"/>
      <c r="G49" s="1269"/>
      <c r="H49" s="1269"/>
      <c r="I49" s="1269"/>
      <c r="J49" s="1444"/>
      <c r="K49" s="1269"/>
      <c r="L49" s="1275"/>
      <c r="M49" s="1278"/>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66"/>
      <c r="AI49" s="1368"/>
      <c r="AJ49" s="1370"/>
      <c r="AK49" s="1372"/>
      <c r="AL49" s="1362"/>
      <c r="AM49" s="1374"/>
      <c r="AN49" s="1346"/>
      <c r="AO49" s="1346"/>
      <c r="AP49" s="1392"/>
      <c r="AQ49" s="1346"/>
      <c r="AR49" s="1350"/>
      <c r="AS49" s="1346"/>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314">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42" t="str">
        <f>IF(基本情報入力シート!X63="","",基本情報入力シート!X63)</f>
        <v/>
      </c>
      <c r="K50" s="1267" t="str">
        <f>IF(基本情報入力シート!Y63="","",基本情報入力シート!Y63)</f>
        <v/>
      </c>
      <c r="L50" s="1273"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2173</v>
      </c>
      <c r="U50" s="1433"/>
      <c r="V50" s="1435" t="str">
        <f>IFERROR(VLOOKUP(K50,【参考】数式用!$A$5:$AB$27,MATCH(U50,【参考】数式用!$B$4:$AB$4,0)+1,0),"")</f>
        <v/>
      </c>
      <c r="W50" s="1437" t="s">
        <v>19</v>
      </c>
      <c r="X50" s="1375">
        <v>6</v>
      </c>
      <c r="Y50" s="1377" t="s">
        <v>10</v>
      </c>
      <c r="Z50" s="1375">
        <v>6</v>
      </c>
      <c r="AA50" s="1377" t="s">
        <v>45</v>
      </c>
      <c r="AB50" s="1375">
        <v>7</v>
      </c>
      <c r="AC50" s="1377" t="s">
        <v>10</v>
      </c>
      <c r="AD50" s="1375">
        <v>3</v>
      </c>
      <c r="AE50" s="1377" t="s">
        <v>13</v>
      </c>
      <c r="AF50" s="1377" t="s">
        <v>24</v>
      </c>
      <c r="AG50" s="1377">
        <f>IF(X50&gt;=1,(AB50*12+AD50)-(X50*12+Z50)+1,"")</f>
        <v>10</v>
      </c>
      <c r="AH50" s="1379" t="s">
        <v>38</v>
      </c>
      <c r="AI50" s="1381" t="str">
        <f>IFERROR(ROUNDDOWN(ROUND(L50*V50,0)*M50,0)*AG50,"")</f>
        <v/>
      </c>
      <c r="AJ50" s="1383" t="str">
        <f>IFERROR(ROUNDDOWN(ROUND((L50*(V50-AX50)),0)*M50,0)*AG50,"")</f>
        <v/>
      </c>
      <c r="AK50" s="1385">
        <f>IFERROR(IF(OR(N50="",N51="",N53=""),0,ROUNDDOWN(ROUNDDOWN(ROUND(L50*VLOOKUP(K50,【参考】数式用!$A$5:$AB$27,MATCH("新加算Ⅳ",【参考】数式用!$B$4:$AB$4,0)+1,0),0)*M50,0)*AG50*0.5,0)),"")</f>
        <v>0</v>
      </c>
      <c r="AL50" s="1363"/>
      <c r="AM50" s="138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2098</v>
      </c>
      <c r="BA50" s="1247" t="s">
        <v>2099</v>
      </c>
      <c r="BB50" s="1247" t="s">
        <v>2100</v>
      </c>
      <c r="BC50" s="1247" t="s">
        <v>2101</v>
      </c>
      <c r="BD50" s="1247" t="str">
        <f>IF(AND(P50&lt;&gt;"新加算Ⅰ",P50&lt;&gt;"新加算Ⅱ",P50&lt;&gt;"新加算Ⅲ",P50&lt;&gt;"新加算Ⅳ"),P50,IF(Q52&lt;&gt;"",Q52,""))</f>
        <v/>
      </c>
      <c r="BE50" s="1247"/>
      <c r="BF50" s="1247" t="str">
        <f t="shared" ref="BF50" si="27">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315"/>
      <c r="B51" s="1301"/>
      <c r="C51" s="1510"/>
      <c r="D51" s="1510"/>
      <c r="E51" s="1510"/>
      <c r="F51" s="1303"/>
      <c r="G51" s="1268"/>
      <c r="H51" s="1268"/>
      <c r="I51" s="1268"/>
      <c r="J51" s="1443"/>
      <c r="K51" s="1268"/>
      <c r="L51" s="1274"/>
      <c r="M51" s="1445"/>
      <c r="N51" s="1399" t="str">
        <f>IF('別紙様式2-2（４・５月分）'!Q42="","",'別紙様式2-2（４・５月分）'!Q42)</f>
        <v/>
      </c>
      <c r="O51" s="1420"/>
      <c r="P51" s="1426"/>
      <c r="Q51" s="1427"/>
      <c r="R51" s="1428"/>
      <c r="S51" s="1430"/>
      <c r="T51" s="1432"/>
      <c r="U51" s="1434"/>
      <c r="V51" s="1436"/>
      <c r="W51" s="1438"/>
      <c r="X51" s="1376"/>
      <c r="Y51" s="1378"/>
      <c r="Z51" s="1376"/>
      <c r="AA51" s="1378"/>
      <c r="AB51" s="1376"/>
      <c r="AC51" s="1378"/>
      <c r="AD51" s="1376"/>
      <c r="AE51" s="1378"/>
      <c r="AF51" s="1378"/>
      <c r="AG51" s="1378"/>
      <c r="AH51" s="1380"/>
      <c r="AI51" s="1382"/>
      <c r="AJ51" s="1384"/>
      <c r="AK51" s="1386"/>
      <c r="AL51" s="1364"/>
      <c r="AM51" s="138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1"/>
      <c r="C52" s="1510"/>
      <c r="D52" s="1510"/>
      <c r="E52" s="1510"/>
      <c r="F52" s="1303"/>
      <c r="G52" s="1268"/>
      <c r="H52" s="1268"/>
      <c r="I52" s="1268"/>
      <c r="J52" s="1443"/>
      <c r="K52" s="1268"/>
      <c r="L52" s="1274"/>
      <c r="M52" s="1445"/>
      <c r="N52" s="1400"/>
      <c r="O52" s="1421"/>
      <c r="P52" s="1401" t="s">
        <v>2179</v>
      </c>
      <c r="Q52" s="1403" t="str">
        <f>IFERROR(VLOOKUP('別紙様式2-2（４・５月分）'!AR41,【参考】数式用!$AT$5:$AV$22,3,FALSE),"")</f>
        <v/>
      </c>
      <c r="R52" s="1405" t="s">
        <v>2190</v>
      </c>
      <c r="S52" s="1447" t="str">
        <f>IFERROR(VLOOKUP(K50,【参考】数式用!$A$5:$AB$27,MATCH(Q52,【参考】数式用!$B$4:$AB$4,0)+1,0),"")</f>
        <v/>
      </c>
      <c r="T52" s="1409" t="s">
        <v>217</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5" t="s">
        <v>38</v>
      </c>
      <c r="AI52" s="1367" t="str">
        <f>IFERROR(ROUNDDOWN(ROUND(L50*V52,0)*M50,0)*AG52,"")</f>
        <v/>
      </c>
      <c r="AJ52" s="1369" t="str">
        <f>IFERROR(ROUNDDOWN(ROUND((L50*(V52-AX50)),0)*M50,0)*AG52,"")</f>
        <v/>
      </c>
      <c r="AK52" s="1371">
        <f>IFERROR(IF(OR(N50="",N51="",N53=""),0,ROUNDDOWN(ROUNDDOWN(ROUND(L50*VLOOKUP(K50,【参考】数式用!$A$5:$AB$27,MATCH("新加算Ⅳ",【参考】数式用!$B$4:$AB$4,0)+1,0),0)*M50,0)*AG52*0.5,0)),"")</f>
        <v>0</v>
      </c>
      <c r="AL52" s="1361" t="str">
        <f t="shared" ref="AL52" si="28">IF(U52&lt;&gt;"","新規に適用","")</f>
        <v/>
      </c>
      <c r="AM52" s="1373">
        <f>IFERROR(IF(OR(N53="ベア加算",N53=""),0, IF(OR(U50="新加算Ⅰ",U50="新加算Ⅱ",U50="新加算Ⅲ",U50="新加算Ⅳ"),0,ROUNDDOWN(ROUND(L50*VLOOKUP(K50,【参考】数式用!$A$5:$I$27,MATCH("ベア加算",【参考】数式用!$B$4:$I$4,0)+1,0),0)*M50,0)*AG52)),"")</f>
        <v>0</v>
      </c>
      <c r="AN52" s="1345" t="str">
        <f>IF(AND(U52&lt;&gt;"",AN50=""),"新規に適用",IF(AND(U52&lt;&gt;"",AN50&lt;&gt;""),"継続で適用",""))</f>
        <v/>
      </c>
      <c r="AO52" s="1345" t="str">
        <f>IF(AND(U52&lt;&gt;"",AO50=""),"新規に適用",IF(AND(U52&lt;&gt;"",AO50&lt;&gt;""),"継続で適用",""))</f>
        <v/>
      </c>
      <c r="AP52" s="1391"/>
      <c r="AQ52" s="1345" t="str">
        <f>IF(AND(U52&lt;&gt;"",AQ50=""),"新規に適用",IF(AND(U52&lt;&gt;"",AQ50&lt;&gt;""),"継続で適用",""))</f>
        <v/>
      </c>
      <c r="AR52" s="1349" t="str">
        <f t="shared" si="19"/>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316"/>
      <c r="B53" s="1439"/>
      <c r="C53" s="1440"/>
      <c r="D53" s="1440"/>
      <c r="E53" s="1440"/>
      <c r="F53" s="1441"/>
      <c r="G53" s="1269"/>
      <c r="H53" s="1269"/>
      <c r="I53" s="1269"/>
      <c r="J53" s="1444"/>
      <c r="K53" s="1269"/>
      <c r="L53" s="1275"/>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66"/>
      <c r="AI53" s="1368"/>
      <c r="AJ53" s="1370"/>
      <c r="AK53" s="1372"/>
      <c r="AL53" s="1362"/>
      <c r="AM53" s="1374"/>
      <c r="AN53" s="1346"/>
      <c r="AO53" s="1346"/>
      <c r="AP53" s="1392"/>
      <c r="AQ53" s="1346"/>
      <c r="AR53" s="1350"/>
      <c r="AS53" s="1449"/>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314">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4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2173</v>
      </c>
      <c r="U54" s="1433"/>
      <c r="V54" s="1435" t="str">
        <f>IFERROR(VLOOKUP(K54,【参考】数式用!$A$5:$AB$27,MATCH(U54,【参考】数式用!$B$4:$AB$4,0)+1,0),"")</f>
        <v/>
      </c>
      <c r="W54" s="1437" t="s">
        <v>19</v>
      </c>
      <c r="X54" s="1375">
        <v>6</v>
      </c>
      <c r="Y54" s="1377" t="s">
        <v>10</v>
      </c>
      <c r="Z54" s="1375">
        <v>6</v>
      </c>
      <c r="AA54" s="1377" t="s">
        <v>45</v>
      </c>
      <c r="AB54" s="1375">
        <v>7</v>
      </c>
      <c r="AC54" s="1377" t="s">
        <v>10</v>
      </c>
      <c r="AD54" s="1375">
        <v>3</v>
      </c>
      <c r="AE54" s="1377" t="s">
        <v>13</v>
      </c>
      <c r="AF54" s="1377" t="s">
        <v>24</v>
      </c>
      <c r="AG54" s="1377">
        <f>IF(X54&gt;=1,(AB54*12+AD54)-(X54*12+Z54)+1,"")</f>
        <v>10</v>
      </c>
      <c r="AH54" s="1379" t="s">
        <v>38</v>
      </c>
      <c r="AI54" s="1381" t="str">
        <f>IFERROR(ROUNDDOWN(ROUND(L54*V54,0)*M54,0)*AG54,"")</f>
        <v/>
      </c>
      <c r="AJ54" s="1383" t="str">
        <f>IFERROR(ROUNDDOWN(ROUND((L54*(V54-AX54)),0)*M54,0)*AG54,"")</f>
        <v/>
      </c>
      <c r="AK54" s="1385">
        <f>IFERROR(IF(OR(N54="",N55="",N57=""),0,ROUNDDOWN(ROUNDDOWN(ROUND(L54*VLOOKUP(K54,【参考】数式用!$A$5:$AB$27,MATCH("新加算Ⅳ",【参考】数式用!$B$4:$AB$4,0)+1,0),0)*M54,0)*AG54*0.5,0)),"")</f>
        <v>0</v>
      </c>
      <c r="AL54" s="1363"/>
      <c r="AM54" s="138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2098</v>
      </c>
      <c r="BA54" s="1247" t="s">
        <v>2099</v>
      </c>
      <c r="BB54" s="1247" t="s">
        <v>2100</v>
      </c>
      <c r="BC54" s="1247" t="s">
        <v>2101</v>
      </c>
      <c r="BD54" s="1247" t="str">
        <f>IF(AND(P54&lt;&gt;"新加算Ⅰ",P54&lt;&gt;"新加算Ⅱ",P54&lt;&gt;"新加算Ⅲ",P54&lt;&gt;"新加算Ⅳ"),P54,IF(Q56&lt;&gt;"",Q56,""))</f>
        <v/>
      </c>
      <c r="BE54" s="1247"/>
      <c r="BF54" s="1247" t="str">
        <f t="shared" ref="BF54" si="30">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315"/>
      <c r="B55" s="1301"/>
      <c r="C55" s="1302"/>
      <c r="D55" s="1302"/>
      <c r="E55" s="1302"/>
      <c r="F55" s="1303"/>
      <c r="G55" s="1268"/>
      <c r="H55" s="1268"/>
      <c r="I55" s="1268"/>
      <c r="J55" s="1443"/>
      <c r="K55" s="1268"/>
      <c r="L55" s="1274"/>
      <c r="M55" s="1277"/>
      <c r="N55" s="1399" t="str">
        <f>IF('別紙様式2-2（４・５月分）'!Q45="","",'別紙様式2-2（４・５月分）'!Q45)</f>
        <v/>
      </c>
      <c r="O55" s="1420"/>
      <c r="P55" s="1426"/>
      <c r="Q55" s="1427"/>
      <c r="R55" s="1428"/>
      <c r="S55" s="1430"/>
      <c r="T55" s="1432"/>
      <c r="U55" s="1434"/>
      <c r="V55" s="1436"/>
      <c r="W55" s="1438"/>
      <c r="X55" s="1376"/>
      <c r="Y55" s="1378"/>
      <c r="Z55" s="1376"/>
      <c r="AA55" s="1378"/>
      <c r="AB55" s="1376"/>
      <c r="AC55" s="1378"/>
      <c r="AD55" s="1376"/>
      <c r="AE55" s="1378"/>
      <c r="AF55" s="1378"/>
      <c r="AG55" s="1378"/>
      <c r="AH55" s="1380"/>
      <c r="AI55" s="1382"/>
      <c r="AJ55" s="1384"/>
      <c r="AK55" s="1386"/>
      <c r="AL55" s="1364"/>
      <c r="AM55" s="138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1"/>
      <c r="C56" s="1302"/>
      <c r="D56" s="1302"/>
      <c r="E56" s="1302"/>
      <c r="F56" s="1303"/>
      <c r="G56" s="1268"/>
      <c r="H56" s="1268"/>
      <c r="I56" s="1268"/>
      <c r="J56" s="1443"/>
      <c r="K56" s="1268"/>
      <c r="L56" s="1274"/>
      <c r="M56" s="1277"/>
      <c r="N56" s="1400"/>
      <c r="O56" s="1421"/>
      <c r="P56" s="1401" t="s">
        <v>2179</v>
      </c>
      <c r="Q56" s="1403" t="str">
        <f>IFERROR(VLOOKUP('別紙様式2-2（４・５月分）'!AR44,【参考】数式用!$AT$5:$AV$22,3,FALSE),"")</f>
        <v/>
      </c>
      <c r="R56" s="1405" t="s">
        <v>2190</v>
      </c>
      <c r="S56" s="1407" t="str">
        <f>IFERROR(VLOOKUP(K54,【参考】数式用!$A$5:$AB$27,MATCH(Q56,【参考】数式用!$B$4:$AB$4,0)+1,0),"")</f>
        <v/>
      </c>
      <c r="T56" s="1409" t="s">
        <v>217</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5" t="s">
        <v>38</v>
      </c>
      <c r="AI56" s="1367" t="str">
        <f>IFERROR(ROUNDDOWN(ROUND(L54*V56,0)*M54,0)*AG56,"")</f>
        <v/>
      </c>
      <c r="AJ56" s="1369" t="str">
        <f>IFERROR(ROUNDDOWN(ROUND((L54*(V56-AX54)),0)*M54,0)*AG56,"")</f>
        <v/>
      </c>
      <c r="AK56" s="1371">
        <f>IFERROR(IF(OR(N54="",N55="",N57=""),0,ROUNDDOWN(ROUNDDOWN(ROUND(L54*VLOOKUP(K54,【参考】数式用!$A$5:$AB$27,MATCH("新加算Ⅳ",【参考】数式用!$B$4:$AB$4,0)+1,0),0)*M54,0)*AG56*0.5,0)),"")</f>
        <v>0</v>
      </c>
      <c r="AL56" s="1361" t="str">
        <f t="shared" ref="AL56" si="31">IF(U56&lt;&gt;"","新規に適用","")</f>
        <v/>
      </c>
      <c r="AM56" s="1373">
        <f>IFERROR(IF(OR(N57="ベア加算",N57=""),0, IF(OR(U54="新加算Ⅰ",U54="新加算Ⅱ",U54="新加算Ⅲ",U54="新加算Ⅳ"),0,ROUNDDOWN(ROUND(L54*VLOOKUP(K54,【参考】数式用!$A$5:$I$27,MATCH("ベア加算",【参考】数式用!$B$4:$I$4,0)+1,0),0)*M54,0)*AG56)),"")</f>
        <v>0</v>
      </c>
      <c r="AN56" s="1345" t="str">
        <f>IF(AND(U56&lt;&gt;"",AN54=""),"新規に適用",IF(AND(U56&lt;&gt;"",AN54&lt;&gt;""),"継続で適用",""))</f>
        <v/>
      </c>
      <c r="AO56" s="1345" t="str">
        <f>IF(AND(U56&lt;&gt;"",AO54=""),"新規に適用",IF(AND(U56&lt;&gt;"",AO54&lt;&gt;""),"継続で適用",""))</f>
        <v/>
      </c>
      <c r="AP56" s="1391"/>
      <c r="AQ56" s="1345" t="str">
        <f>IF(AND(U56&lt;&gt;"",AQ54=""),"新規に適用",IF(AND(U56&lt;&gt;"",AQ54&lt;&gt;""),"継続で適用",""))</f>
        <v/>
      </c>
      <c r="AR56" s="1349" t="str">
        <f t="shared" si="19"/>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316"/>
      <c r="B57" s="1439"/>
      <c r="C57" s="1440"/>
      <c r="D57" s="1440"/>
      <c r="E57" s="1440"/>
      <c r="F57" s="1441"/>
      <c r="G57" s="1269"/>
      <c r="H57" s="1269"/>
      <c r="I57" s="1269"/>
      <c r="J57" s="1444"/>
      <c r="K57" s="1269"/>
      <c r="L57" s="1275"/>
      <c r="M57" s="1278"/>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66"/>
      <c r="AI57" s="1368"/>
      <c r="AJ57" s="1370"/>
      <c r="AK57" s="1372"/>
      <c r="AL57" s="1362"/>
      <c r="AM57" s="1374"/>
      <c r="AN57" s="1346"/>
      <c r="AO57" s="1346"/>
      <c r="AP57" s="1392"/>
      <c r="AQ57" s="1346"/>
      <c r="AR57" s="1350"/>
      <c r="AS57" s="1346"/>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43" t="str">
        <f>IF(基本情報入力シート!X65="","",基本情報入力シート!X65)</f>
        <v/>
      </c>
      <c r="K58" s="1268" t="str">
        <f>IF(基本情報入力シート!Y65="","",基本情報入力シート!Y65)</f>
        <v/>
      </c>
      <c r="L58" s="1274"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2173</v>
      </c>
      <c r="U58" s="1433"/>
      <c r="V58" s="1435" t="str">
        <f>IFERROR(VLOOKUP(K58,【参考】数式用!$A$5:$AB$27,MATCH(U58,【参考】数式用!$B$4:$AB$4,0)+1,0),"")</f>
        <v/>
      </c>
      <c r="W58" s="1437" t="s">
        <v>19</v>
      </c>
      <c r="X58" s="1375">
        <v>6</v>
      </c>
      <c r="Y58" s="1377" t="s">
        <v>10</v>
      </c>
      <c r="Z58" s="1375">
        <v>6</v>
      </c>
      <c r="AA58" s="1377" t="s">
        <v>45</v>
      </c>
      <c r="AB58" s="1375">
        <v>7</v>
      </c>
      <c r="AC58" s="1377" t="s">
        <v>10</v>
      </c>
      <c r="AD58" s="1375">
        <v>3</v>
      </c>
      <c r="AE58" s="1377" t="s">
        <v>13</v>
      </c>
      <c r="AF58" s="1377" t="s">
        <v>24</v>
      </c>
      <c r="AG58" s="1377">
        <f>IF(X58&gt;=1,(AB58*12+AD58)-(X58*12+Z58)+1,"")</f>
        <v>10</v>
      </c>
      <c r="AH58" s="1379" t="s">
        <v>38</v>
      </c>
      <c r="AI58" s="1381" t="str">
        <f>IFERROR(ROUNDDOWN(ROUND(L58*V58,0)*M58,0)*AG58,"")</f>
        <v/>
      </c>
      <c r="AJ58" s="1383" t="str">
        <f>IFERROR(ROUNDDOWN(ROUND((L58*(V58-AX58)),0)*M58,0)*AG58,"")</f>
        <v/>
      </c>
      <c r="AK58" s="1385">
        <f>IFERROR(IF(OR(N58="",N59="",N61=""),0,ROUNDDOWN(ROUNDDOWN(ROUND(L58*VLOOKUP(K58,【参考】数式用!$A$5:$AB$27,MATCH("新加算Ⅳ",【参考】数式用!$B$4:$AB$4,0)+1,0),0)*M58,0)*AG58*0.5,0)),"")</f>
        <v>0</v>
      </c>
      <c r="AL58" s="1363"/>
      <c r="AM58" s="138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2098</v>
      </c>
      <c r="BA58" s="1247" t="s">
        <v>2099</v>
      </c>
      <c r="BB58" s="1247" t="s">
        <v>2100</v>
      </c>
      <c r="BC58" s="1247" t="s">
        <v>2101</v>
      </c>
      <c r="BD58" s="1247" t="str">
        <f>IF(AND(P58&lt;&gt;"新加算Ⅰ",P58&lt;&gt;"新加算Ⅱ",P58&lt;&gt;"新加算Ⅲ",P58&lt;&gt;"新加算Ⅳ"),P58,IF(Q60&lt;&gt;"",Q60,""))</f>
        <v/>
      </c>
      <c r="BE58" s="1247"/>
      <c r="BF58" s="1247" t="str">
        <f t="shared" ref="BF58" si="33">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315"/>
      <c r="B59" s="1301"/>
      <c r="C59" s="1302"/>
      <c r="D59" s="1302"/>
      <c r="E59" s="1302"/>
      <c r="F59" s="1303"/>
      <c r="G59" s="1268"/>
      <c r="H59" s="1268"/>
      <c r="I59" s="1268"/>
      <c r="J59" s="1443"/>
      <c r="K59" s="1268"/>
      <c r="L59" s="1274"/>
      <c r="M59" s="1445"/>
      <c r="N59" s="1399" t="str">
        <f>IF('別紙様式2-2（４・５月分）'!Q48="","",'別紙様式2-2（４・５月分）'!Q48)</f>
        <v/>
      </c>
      <c r="O59" s="1420"/>
      <c r="P59" s="1426"/>
      <c r="Q59" s="1427"/>
      <c r="R59" s="1428"/>
      <c r="S59" s="1430"/>
      <c r="T59" s="1432"/>
      <c r="U59" s="1434"/>
      <c r="V59" s="1436"/>
      <c r="W59" s="1438"/>
      <c r="X59" s="1376"/>
      <c r="Y59" s="1378"/>
      <c r="Z59" s="1376"/>
      <c r="AA59" s="1378"/>
      <c r="AB59" s="1376"/>
      <c r="AC59" s="1378"/>
      <c r="AD59" s="1376"/>
      <c r="AE59" s="1378"/>
      <c r="AF59" s="1378"/>
      <c r="AG59" s="1378"/>
      <c r="AH59" s="1380"/>
      <c r="AI59" s="1382"/>
      <c r="AJ59" s="1384"/>
      <c r="AK59" s="1386"/>
      <c r="AL59" s="1364"/>
      <c r="AM59" s="138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1"/>
      <c r="C60" s="1302"/>
      <c r="D60" s="1302"/>
      <c r="E60" s="1302"/>
      <c r="F60" s="1303"/>
      <c r="G60" s="1268"/>
      <c r="H60" s="1268"/>
      <c r="I60" s="1268"/>
      <c r="J60" s="1443"/>
      <c r="K60" s="1268"/>
      <c r="L60" s="1274"/>
      <c r="M60" s="1445"/>
      <c r="N60" s="1400"/>
      <c r="O60" s="1421"/>
      <c r="P60" s="1401" t="s">
        <v>2179</v>
      </c>
      <c r="Q60" s="1403" t="str">
        <f>IFERROR(VLOOKUP('別紙様式2-2（４・５月分）'!AR47,【参考】数式用!$AT$5:$AV$22,3,FALSE),"")</f>
        <v/>
      </c>
      <c r="R60" s="1405" t="s">
        <v>2190</v>
      </c>
      <c r="S60" s="1447" t="str">
        <f>IFERROR(VLOOKUP(K58,【参考】数式用!$A$5:$AB$27,MATCH(Q60,【参考】数式用!$B$4:$AB$4,0)+1,0),"")</f>
        <v/>
      </c>
      <c r="T60" s="1409" t="s">
        <v>217</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5" t="s">
        <v>38</v>
      </c>
      <c r="AI60" s="1367" t="str">
        <f>IFERROR(ROUNDDOWN(ROUND(L58*V60,0)*M58,0)*AG60,"")</f>
        <v/>
      </c>
      <c r="AJ60" s="1369" t="str">
        <f>IFERROR(ROUNDDOWN(ROUND((L58*(V60-AX58)),0)*M58,0)*AG60,"")</f>
        <v/>
      </c>
      <c r="AK60" s="1371">
        <f>IFERROR(IF(OR(N58="",N59="",N61=""),0,ROUNDDOWN(ROUNDDOWN(ROUND(L58*VLOOKUP(K58,【参考】数式用!$A$5:$AB$27,MATCH("新加算Ⅳ",【参考】数式用!$B$4:$AB$4,0)+1,0),0)*M58,0)*AG60*0.5,0)),"")</f>
        <v>0</v>
      </c>
      <c r="AL60" s="1361" t="str">
        <f t="shared" ref="AL60" si="34">IF(U60&lt;&gt;"","新規に適用","")</f>
        <v/>
      </c>
      <c r="AM60" s="1373">
        <f>IFERROR(IF(OR(N61="ベア加算",N61=""),0, IF(OR(U58="新加算Ⅰ",U58="新加算Ⅱ",U58="新加算Ⅲ",U58="新加算Ⅳ"),0,ROUNDDOWN(ROUND(L58*VLOOKUP(K58,【参考】数式用!$A$5:$I$27,MATCH("ベア加算",【参考】数式用!$B$4:$I$4,0)+1,0),0)*M58,0)*AG60)),"")</f>
        <v>0</v>
      </c>
      <c r="AN60" s="1345" t="str">
        <f>IF(AND(U60&lt;&gt;"",AN58=""),"新規に適用",IF(AND(U60&lt;&gt;"",AN58&lt;&gt;""),"継続で適用",""))</f>
        <v/>
      </c>
      <c r="AO60" s="1345" t="str">
        <f>IF(AND(U60&lt;&gt;"",AO58=""),"新規に適用",IF(AND(U60&lt;&gt;"",AO58&lt;&gt;""),"継続で適用",""))</f>
        <v/>
      </c>
      <c r="AP60" s="1391"/>
      <c r="AQ60" s="1345" t="str">
        <f>IF(AND(U60&lt;&gt;"",AQ58=""),"新規に適用",IF(AND(U60&lt;&gt;"",AQ58&lt;&gt;""),"継続で適用",""))</f>
        <v/>
      </c>
      <c r="AR60" s="1349" t="str">
        <f t="shared" si="19"/>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316"/>
      <c r="B61" s="1439"/>
      <c r="C61" s="1440"/>
      <c r="D61" s="1440"/>
      <c r="E61" s="1440"/>
      <c r="F61" s="1441"/>
      <c r="G61" s="1269"/>
      <c r="H61" s="1269"/>
      <c r="I61" s="1269"/>
      <c r="J61" s="1444"/>
      <c r="K61" s="1269"/>
      <c r="L61" s="1275"/>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66"/>
      <c r="AI61" s="1368"/>
      <c r="AJ61" s="1370"/>
      <c r="AK61" s="1372"/>
      <c r="AL61" s="1362"/>
      <c r="AM61" s="1374"/>
      <c r="AN61" s="1346"/>
      <c r="AO61" s="1346"/>
      <c r="AP61" s="1392"/>
      <c r="AQ61" s="1346"/>
      <c r="AR61" s="1350"/>
      <c r="AS61" s="1346"/>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314">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4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2173</v>
      </c>
      <c r="U62" s="1433"/>
      <c r="V62" s="1435" t="str">
        <f>IFERROR(VLOOKUP(K62,【参考】数式用!$A$5:$AB$27,MATCH(U62,【参考】数式用!$B$4:$AB$4,0)+1,0),"")</f>
        <v/>
      </c>
      <c r="W62" s="1437" t="s">
        <v>19</v>
      </c>
      <c r="X62" s="1375">
        <v>6</v>
      </c>
      <c r="Y62" s="1377" t="s">
        <v>10</v>
      </c>
      <c r="Z62" s="1375">
        <v>6</v>
      </c>
      <c r="AA62" s="1377" t="s">
        <v>45</v>
      </c>
      <c r="AB62" s="1375">
        <v>7</v>
      </c>
      <c r="AC62" s="1377" t="s">
        <v>10</v>
      </c>
      <c r="AD62" s="1375">
        <v>3</v>
      </c>
      <c r="AE62" s="1377" t="s">
        <v>13</v>
      </c>
      <c r="AF62" s="1377" t="s">
        <v>24</v>
      </c>
      <c r="AG62" s="1377">
        <f>IF(X62&gt;=1,(AB62*12+AD62)-(X62*12+Z62)+1,"")</f>
        <v>10</v>
      </c>
      <c r="AH62" s="1379" t="s">
        <v>38</v>
      </c>
      <c r="AI62" s="1381" t="str">
        <f>IFERROR(ROUNDDOWN(ROUND(L62*V62,0)*M62,0)*AG62,"")</f>
        <v/>
      </c>
      <c r="AJ62" s="1383" t="str">
        <f>IFERROR(ROUNDDOWN(ROUND((L62*(V62-AX62)),0)*M62,0)*AG62,"")</f>
        <v/>
      </c>
      <c r="AK62" s="1385">
        <f>IFERROR(IF(OR(N62="",N63="",N65=""),0,ROUNDDOWN(ROUNDDOWN(ROUND(L62*VLOOKUP(K62,【参考】数式用!$A$5:$AB$27,MATCH("新加算Ⅳ",【参考】数式用!$B$4:$AB$4,0)+1,0),0)*M62,0)*AG62*0.5,0)),"")</f>
        <v>0</v>
      </c>
      <c r="AL62" s="1363"/>
      <c r="AM62" s="138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2098</v>
      </c>
      <c r="BA62" s="1247" t="s">
        <v>2099</v>
      </c>
      <c r="BB62" s="1247" t="s">
        <v>2100</v>
      </c>
      <c r="BC62" s="1247" t="s">
        <v>2101</v>
      </c>
      <c r="BD62" s="1247" t="str">
        <f>IF(AND(P62&lt;&gt;"新加算Ⅰ",P62&lt;&gt;"新加算Ⅱ",P62&lt;&gt;"新加算Ⅲ",P62&lt;&gt;"新加算Ⅳ"),P62,IF(Q64&lt;&gt;"",Q64,""))</f>
        <v/>
      </c>
      <c r="BE62" s="1247"/>
      <c r="BF62" s="1247" t="str">
        <f t="shared" ref="BF62" si="36">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315"/>
      <c r="B63" s="1301"/>
      <c r="C63" s="1302"/>
      <c r="D63" s="1302"/>
      <c r="E63" s="1302"/>
      <c r="F63" s="1303"/>
      <c r="G63" s="1268"/>
      <c r="H63" s="1268"/>
      <c r="I63" s="1268"/>
      <c r="J63" s="1443"/>
      <c r="K63" s="1268"/>
      <c r="L63" s="1274"/>
      <c r="M63" s="1277"/>
      <c r="N63" s="1399" t="str">
        <f>IF('別紙様式2-2（４・５月分）'!Q51="","",'別紙様式2-2（４・５月分）'!Q51)</f>
        <v/>
      </c>
      <c r="O63" s="1420"/>
      <c r="P63" s="1426"/>
      <c r="Q63" s="1427"/>
      <c r="R63" s="1428"/>
      <c r="S63" s="1430"/>
      <c r="T63" s="1432"/>
      <c r="U63" s="1434"/>
      <c r="V63" s="1436"/>
      <c r="W63" s="1438"/>
      <c r="X63" s="1376"/>
      <c r="Y63" s="1378"/>
      <c r="Z63" s="1376"/>
      <c r="AA63" s="1378"/>
      <c r="AB63" s="1376"/>
      <c r="AC63" s="1378"/>
      <c r="AD63" s="1376"/>
      <c r="AE63" s="1378"/>
      <c r="AF63" s="1378"/>
      <c r="AG63" s="1378"/>
      <c r="AH63" s="1380"/>
      <c r="AI63" s="1382"/>
      <c r="AJ63" s="1384"/>
      <c r="AK63" s="1386"/>
      <c r="AL63" s="1364"/>
      <c r="AM63" s="138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1"/>
      <c r="C64" s="1302"/>
      <c r="D64" s="1302"/>
      <c r="E64" s="1302"/>
      <c r="F64" s="1303"/>
      <c r="G64" s="1268"/>
      <c r="H64" s="1268"/>
      <c r="I64" s="1268"/>
      <c r="J64" s="1443"/>
      <c r="K64" s="1268"/>
      <c r="L64" s="1274"/>
      <c r="M64" s="1277"/>
      <c r="N64" s="1400"/>
      <c r="O64" s="1421"/>
      <c r="P64" s="1401" t="s">
        <v>2179</v>
      </c>
      <c r="Q64" s="1403" t="str">
        <f>IFERROR(VLOOKUP('別紙様式2-2（４・５月分）'!AR50,【参考】数式用!$AT$5:$AV$22,3,FALSE),"")</f>
        <v/>
      </c>
      <c r="R64" s="1405" t="s">
        <v>2190</v>
      </c>
      <c r="S64" s="1407" t="str">
        <f>IFERROR(VLOOKUP(K62,【参考】数式用!$A$5:$AB$27,MATCH(Q64,【参考】数式用!$B$4:$AB$4,0)+1,0),"")</f>
        <v/>
      </c>
      <c r="T64" s="1409" t="s">
        <v>217</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5" t="s">
        <v>38</v>
      </c>
      <c r="AI64" s="1367" t="str">
        <f>IFERROR(ROUNDDOWN(ROUND(L62*V64,0)*M62,0)*AG64,"")</f>
        <v/>
      </c>
      <c r="AJ64" s="1369" t="str">
        <f>IFERROR(ROUNDDOWN(ROUND((L62*(V64-AX62)),0)*M62,0)*AG64,"")</f>
        <v/>
      </c>
      <c r="AK64" s="1371">
        <f>IFERROR(IF(OR(N62="",N63="",N65=""),0,ROUNDDOWN(ROUNDDOWN(ROUND(L62*VLOOKUP(K62,【参考】数式用!$A$5:$AB$27,MATCH("新加算Ⅳ",【参考】数式用!$B$4:$AB$4,0)+1,0),0)*M62,0)*AG64*0.5,0)),"")</f>
        <v>0</v>
      </c>
      <c r="AL64" s="1361" t="str">
        <f t="shared" ref="AL64" si="37">IF(U64&lt;&gt;"","新規に適用","")</f>
        <v/>
      </c>
      <c r="AM64" s="1373">
        <f>IFERROR(IF(OR(N65="ベア加算",N65=""),0, IF(OR(U62="新加算Ⅰ",U62="新加算Ⅱ",U62="新加算Ⅲ",U62="新加算Ⅳ"),0,ROUNDDOWN(ROUND(L62*VLOOKUP(K62,【参考】数式用!$A$5:$I$27,MATCH("ベア加算",【参考】数式用!$B$4:$I$4,0)+1,0),0)*M62,0)*AG64)),"")</f>
        <v>0</v>
      </c>
      <c r="AN64" s="1345" t="str">
        <f>IF(AND(U64&lt;&gt;"",AN62=""),"新規に適用",IF(AND(U64&lt;&gt;"",AN62&lt;&gt;""),"継続で適用",""))</f>
        <v/>
      </c>
      <c r="AO64" s="1345" t="str">
        <f>IF(AND(U64&lt;&gt;"",AO62=""),"新規に適用",IF(AND(U64&lt;&gt;"",AO62&lt;&gt;""),"継続で適用",""))</f>
        <v/>
      </c>
      <c r="AP64" s="1391"/>
      <c r="AQ64" s="1345" t="str">
        <f>IF(AND(U64&lt;&gt;"",AQ62=""),"新規に適用",IF(AND(U64&lt;&gt;"",AQ62&lt;&gt;""),"継続で適用",""))</f>
        <v/>
      </c>
      <c r="AR64" s="1349" t="str">
        <f t="shared" si="19"/>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316"/>
      <c r="B65" s="1439"/>
      <c r="C65" s="1440"/>
      <c r="D65" s="1440"/>
      <c r="E65" s="1440"/>
      <c r="F65" s="1441"/>
      <c r="G65" s="1269"/>
      <c r="H65" s="1269"/>
      <c r="I65" s="1269"/>
      <c r="J65" s="1444"/>
      <c r="K65" s="1269"/>
      <c r="L65" s="1275"/>
      <c r="M65" s="1278"/>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66"/>
      <c r="AI65" s="1368"/>
      <c r="AJ65" s="1370"/>
      <c r="AK65" s="1372"/>
      <c r="AL65" s="1362"/>
      <c r="AM65" s="1374"/>
      <c r="AN65" s="1346"/>
      <c r="AO65" s="1346"/>
      <c r="AP65" s="1392"/>
      <c r="AQ65" s="1346"/>
      <c r="AR65" s="1350"/>
      <c r="AS65" s="1346"/>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43" t="str">
        <f>IF(基本情報入力シート!X67="","",基本情報入力シート!X67)</f>
        <v/>
      </c>
      <c r="K66" s="1268" t="str">
        <f>IF(基本情報入力シート!Y67="","",基本情報入力シート!Y67)</f>
        <v/>
      </c>
      <c r="L66" s="1274"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2173</v>
      </c>
      <c r="U66" s="1433"/>
      <c r="V66" s="1435" t="str">
        <f>IFERROR(VLOOKUP(K66,【参考】数式用!$A$5:$AB$27,MATCH(U66,【参考】数式用!$B$4:$AB$4,0)+1,0),"")</f>
        <v/>
      </c>
      <c r="W66" s="1437" t="s">
        <v>19</v>
      </c>
      <c r="X66" s="1375">
        <v>6</v>
      </c>
      <c r="Y66" s="1377" t="s">
        <v>10</v>
      </c>
      <c r="Z66" s="1375">
        <v>6</v>
      </c>
      <c r="AA66" s="1377" t="s">
        <v>45</v>
      </c>
      <c r="AB66" s="1375">
        <v>7</v>
      </c>
      <c r="AC66" s="1377" t="s">
        <v>10</v>
      </c>
      <c r="AD66" s="1375">
        <v>3</v>
      </c>
      <c r="AE66" s="1377" t="s">
        <v>13</v>
      </c>
      <c r="AF66" s="1377" t="s">
        <v>24</v>
      </c>
      <c r="AG66" s="1377">
        <f>IF(X66&gt;=1,(AB66*12+AD66)-(X66*12+Z66)+1,"")</f>
        <v>10</v>
      </c>
      <c r="AH66" s="1379" t="s">
        <v>38</v>
      </c>
      <c r="AI66" s="1381" t="str">
        <f>IFERROR(ROUNDDOWN(ROUND(L66*V66,0)*M66,0)*AG66,"")</f>
        <v/>
      </c>
      <c r="AJ66" s="1383" t="str">
        <f>IFERROR(ROUNDDOWN(ROUND((L66*(V66-AX66)),0)*M66,0)*AG66,"")</f>
        <v/>
      </c>
      <c r="AK66" s="1385">
        <f>IFERROR(IF(OR(N66="",N67="",N69=""),0,ROUNDDOWN(ROUNDDOWN(ROUND(L66*VLOOKUP(K66,【参考】数式用!$A$5:$AB$27,MATCH("新加算Ⅳ",【参考】数式用!$B$4:$AB$4,0)+1,0),0)*M66,0)*AG66*0.5,0)),"")</f>
        <v>0</v>
      </c>
      <c r="AL66" s="1363"/>
      <c r="AM66" s="138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2098</v>
      </c>
      <c r="BA66" s="1247" t="s">
        <v>2099</v>
      </c>
      <c r="BB66" s="1247" t="s">
        <v>2100</v>
      </c>
      <c r="BC66" s="1247" t="s">
        <v>2101</v>
      </c>
      <c r="BD66" s="1247" t="str">
        <f>IF(AND(P66&lt;&gt;"新加算Ⅰ",P66&lt;&gt;"新加算Ⅱ",P66&lt;&gt;"新加算Ⅲ",P66&lt;&gt;"新加算Ⅳ"),P66,IF(Q68&lt;&gt;"",Q68,""))</f>
        <v/>
      </c>
      <c r="BE66" s="1247"/>
      <c r="BF66" s="1247" t="str">
        <f t="shared" ref="BF66" si="39">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315"/>
      <c r="B67" s="1301"/>
      <c r="C67" s="1302"/>
      <c r="D67" s="1302"/>
      <c r="E67" s="1302"/>
      <c r="F67" s="1303"/>
      <c r="G67" s="1268"/>
      <c r="H67" s="1268"/>
      <c r="I67" s="1268"/>
      <c r="J67" s="1443"/>
      <c r="K67" s="1268"/>
      <c r="L67" s="1274"/>
      <c r="M67" s="1445"/>
      <c r="N67" s="1399" t="str">
        <f>IF('別紙様式2-2（４・５月分）'!Q54="","",'別紙様式2-2（４・５月分）'!Q54)</f>
        <v/>
      </c>
      <c r="O67" s="1420"/>
      <c r="P67" s="1426"/>
      <c r="Q67" s="1427"/>
      <c r="R67" s="1428"/>
      <c r="S67" s="1430"/>
      <c r="T67" s="1432"/>
      <c r="U67" s="1434"/>
      <c r="V67" s="1436"/>
      <c r="W67" s="1438"/>
      <c r="X67" s="1376"/>
      <c r="Y67" s="1378"/>
      <c r="Z67" s="1376"/>
      <c r="AA67" s="1378"/>
      <c r="AB67" s="1376"/>
      <c r="AC67" s="1378"/>
      <c r="AD67" s="1376"/>
      <c r="AE67" s="1378"/>
      <c r="AF67" s="1378"/>
      <c r="AG67" s="1378"/>
      <c r="AH67" s="1380"/>
      <c r="AI67" s="1382"/>
      <c r="AJ67" s="1384"/>
      <c r="AK67" s="1386"/>
      <c r="AL67" s="1364"/>
      <c r="AM67" s="138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1"/>
      <c r="C68" s="1302"/>
      <c r="D68" s="1302"/>
      <c r="E68" s="1302"/>
      <c r="F68" s="1303"/>
      <c r="G68" s="1268"/>
      <c r="H68" s="1268"/>
      <c r="I68" s="1268"/>
      <c r="J68" s="1443"/>
      <c r="K68" s="1268"/>
      <c r="L68" s="1274"/>
      <c r="M68" s="1445"/>
      <c r="N68" s="1400"/>
      <c r="O68" s="1421"/>
      <c r="P68" s="1401" t="s">
        <v>2179</v>
      </c>
      <c r="Q68" s="1403" t="str">
        <f>IFERROR(VLOOKUP('別紙様式2-2（４・５月分）'!AR53,【参考】数式用!$AT$5:$AV$22,3,FALSE),"")</f>
        <v/>
      </c>
      <c r="R68" s="1405" t="s">
        <v>2190</v>
      </c>
      <c r="S68" s="1447" t="str">
        <f>IFERROR(VLOOKUP(K66,【参考】数式用!$A$5:$AB$27,MATCH(Q68,【参考】数式用!$B$4:$AB$4,0)+1,0),"")</f>
        <v/>
      </c>
      <c r="T68" s="1409" t="s">
        <v>217</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5" t="s">
        <v>38</v>
      </c>
      <c r="AI68" s="1367" t="str">
        <f>IFERROR(ROUNDDOWN(ROUND(L66*V68,0)*M66,0)*AG68,"")</f>
        <v/>
      </c>
      <c r="AJ68" s="1369" t="str">
        <f>IFERROR(ROUNDDOWN(ROUND((L66*(V68-AX66)),0)*M66,0)*AG68,"")</f>
        <v/>
      </c>
      <c r="AK68" s="1371">
        <f>IFERROR(IF(OR(N66="",N67="",N69=""),0,ROUNDDOWN(ROUNDDOWN(ROUND(L66*VLOOKUP(K66,【参考】数式用!$A$5:$AB$27,MATCH("新加算Ⅳ",【参考】数式用!$B$4:$AB$4,0)+1,0),0)*M66,0)*AG68*0.5,0)),"")</f>
        <v>0</v>
      </c>
      <c r="AL68" s="1361" t="str">
        <f t="shared" ref="AL68" si="40">IF(U68&lt;&gt;"","新規に適用","")</f>
        <v/>
      </c>
      <c r="AM68" s="1373">
        <f>IFERROR(IF(OR(N69="ベア加算",N69=""),0, IF(OR(U66="新加算Ⅰ",U66="新加算Ⅱ",U66="新加算Ⅲ",U66="新加算Ⅳ"),0,ROUNDDOWN(ROUND(L66*VLOOKUP(K66,【参考】数式用!$A$5:$I$27,MATCH("ベア加算",【参考】数式用!$B$4:$I$4,0)+1,0),0)*M66,0)*AG68)),"")</f>
        <v>0</v>
      </c>
      <c r="AN68" s="1345" t="str">
        <f>IF(AND(U68&lt;&gt;"",AN66=""),"新規に適用",IF(AND(U68&lt;&gt;"",AN66&lt;&gt;""),"継続で適用",""))</f>
        <v/>
      </c>
      <c r="AO68" s="1345" t="str">
        <f>IF(AND(U68&lt;&gt;"",AO66=""),"新規に適用",IF(AND(U68&lt;&gt;"",AO66&lt;&gt;""),"継続で適用",""))</f>
        <v/>
      </c>
      <c r="AP68" s="1391"/>
      <c r="AQ68" s="1345" t="str">
        <f>IF(AND(U68&lt;&gt;"",AQ66=""),"新規に適用",IF(AND(U68&lt;&gt;"",AQ66&lt;&gt;""),"継続で適用",""))</f>
        <v/>
      </c>
      <c r="AR68" s="1349" t="str">
        <f t="shared" si="19"/>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316"/>
      <c r="B69" s="1439"/>
      <c r="C69" s="1440"/>
      <c r="D69" s="1440"/>
      <c r="E69" s="1440"/>
      <c r="F69" s="1441"/>
      <c r="G69" s="1269"/>
      <c r="H69" s="1269"/>
      <c r="I69" s="1269"/>
      <c r="J69" s="1444"/>
      <c r="K69" s="1269"/>
      <c r="L69" s="1275"/>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66"/>
      <c r="AI69" s="1368"/>
      <c r="AJ69" s="1370"/>
      <c r="AK69" s="1372"/>
      <c r="AL69" s="1362"/>
      <c r="AM69" s="1374"/>
      <c r="AN69" s="1346"/>
      <c r="AO69" s="1346"/>
      <c r="AP69" s="1392"/>
      <c r="AQ69" s="1346"/>
      <c r="AR69" s="1350"/>
      <c r="AS69" s="1346"/>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314">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4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2173</v>
      </c>
      <c r="U70" s="1433"/>
      <c r="V70" s="1435" t="str">
        <f>IFERROR(VLOOKUP(K70,【参考】数式用!$A$5:$AB$27,MATCH(U70,【参考】数式用!$B$4:$AB$4,0)+1,0),"")</f>
        <v/>
      </c>
      <c r="W70" s="1437" t="s">
        <v>19</v>
      </c>
      <c r="X70" s="1375">
        <v>6</v>
      </c>
      <c r="Y70" s="1377" t="s">
        <v>10</v>
      </c>
      <c r="Z70" s="1375">
        <v>6</v>
      </c>
      <c r="AA70" s="1377" t="s">
        <v>45</v>
      </c>
      <c r="AB70" s="1375">
        <v>7</v>
      </c>
      <c r="AC70" s="1377" t="s">
        <v>10</v>
      </c>
      <c r="AD70" s="1375">
        <v>3</v>
      </c>
      <c r="AE70" s="1377" t="s">
        <v>13</v>
      </c>
      <c r="AF70" s="1377" t="s">
        <v>24</v>
      </c>
      <c r="AG70" s="1377">
        <f>IF(X70&gt;=1,(AB70*12+AD70)-(X70*12+Z70)+1,"")</f>
        <v>10</v>
      </c>
      <c r="AH70" s="1379" t="s">
        <v>38</v>
      </c>
      <c r="AI70" s="1381" t="str">
        <f>IFERROR(ROUNDDOWN(ROUND(L70*V70,0)*M70,0)*AG70,"")</f>
        <v/>
      </c>
      <c r="AJ70" s="1383" t="str">
        <f>IFERROR(ROUNDDOWN(ROUND((L70*(V70-AX70)),0)*M70,0)*AG70,"")</f>
        <v/>
      </c>
      <c r="AK70" s="1385">
        <f>IFERROR(IF(OR(N70="",N71="",N73=""),0,ROUNDDOWN(ROUNDDOWN(ROUND(L70*VLOOKUP(K70,【参考】数式用!$A$5:$AB$27,MATCH("新加算Ⅳ",【参考】数式用!$B$4:$AB$4,0)+1,0),0)*M70,0)*AG70*0.5,0)),"")</f>
        <v>0</v>
      </c>
      <c r="AL70" s="1363"/>
      <c r="AM70" s="138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2098</v>
      </c>
      <c r="BA70" s="1247" t="s">
        <v>2099</v>
      </c>
      <c r="BB70" s="1247" t="s">
        <v>2100</v>
      </c>
      <c r="BC70" s="1247" t="s">
        <v>2101</v>
      </c>
      <c r="BD70" s="1247" t="str">
        <f>IF(AND(P70&lt;&gt;"新加算Ⅰ",P70&lt;&gt;"新加算Ⅱ",P70&lt;&gt;"新加算Ⅲ",P70&lt;&gt;"新加算Ⅳ"),P70,IF(Q72&lt;&gt;"",Q72,""))</f>
        <v/>
      </c>
      <c r="BE70" s="1247"/>
      <c r="BF70" s="1247" t="str">
        <f t="shared" ref="BF70" si="42">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315"/>
      <c r="B71" s="1301"/>
      <c r="C71" s="1302"/>
      <c r="D71" s="1302"/>
      <c r="E71" s="1302"/>
      <c r="F71" s="1303"/>
      <c r="G71" s="1268"/>
      <c r="H71" s="1268"/>
      <c r="I71" s="1268"/>
      <c r="J71" s="1443"/>
      <c r="K71" s="1268"/>
      <c r="L71" s="1274"/>
      <c r="M71" s="1277"/>
      <c r="N71" s="1399" t="str">
        <f>IF('別紙様式2-2（４・５月分）'!Q57="","",'別紙様式2-2（４・５月分）'!Q57)</f>
        <v/>
      </c>
      <c r="O71" s="1420"/>
      <c r="P71" s="1426"/>
      <c r="Q71" s="1427"/>
      <c r="R71" s="1428"/>
      <c r="S71" s="1430"/>
      <c r="T71" s="1432"/>
      <c r="U71" s="1434"/>
      <c r="V71" s="1436"/>
      <c r="W71" s="1438"/>
      <c r="X71" s="1376"/>
      <c r="Y71" s="1378"/>
      <c r="Z71" s="1376"/>
      <c r="AA71" s="1378"/>
      <c r="AB71" s="1376"/>
      <c r="AC71" s="1378"/>
      <c r="AD71" s="1376"/>
      <c r="AE71" s="1378"/>
      <c r="AF71" s="1378"/>
      <c r="AG71" s="1378"/>
      <c r="AH71" s="1380"/>
      <c r="AI71" s="1382"/>
      <c r="AJ71" s="1384"/>
      <c r="AK71" s="1386"/>
      <c r="AL71" s="1364"/>
      <c r="AM71" s="138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1"/>
      <c r="C72" s="1302"/>
      <c r="D72" s="1302"/>
      <c r="E72" s="1302"/>
      <c r="F72" s="1303"/>
      <c r="G72" s="1268"/>
      <c r="H72" s="1268"/>
      <c r="I72" s="1268"/>
      <c r="J72" s="1443"/>
      <c r="K72" s="1268"/>
      <c r="L72" s="1274"/>
      <c r="M72" s="1277"/>
      <c r="N72" s="1400"/>
      <c r="O72" s="1421"/>
      <c r="P72" s="1401" t="s">
        <v>2179</v>
      </c>
      <c r="Q72" s="1403" t="str">
        <f>IFERROR(VLOOKUP('別紙様式2-2（４・５月分）'!AR56,【参考】数式用!$AT$5:$AV$22,3,FALSE),"")</f>
        <v/>
      </c>
      <c r="R72" s="1405" t="s">
        <v>2190</v>
      </c>
      <c r="S72" s="1407" t="str">
        <f>IFERROR(VLOOKUP(K70,【参考】数式用!$A$5:$AB$27,MATCH(Q72,【参考】数式用!$B$4:$AB$4,0)+1,0),"")</f>
        <v/>
      </c>
      <c r="T72" s="1409" t="s">
        <v>217</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5" t="s">
        <v>38</v>
      </c>
      <c r="AI72" s="1367" t="str">
        <f>IFERROR(ROUNDDOWN(ROUND(L70*V72,0)*M70,0)*AG72,"")</f>
        <v/>
      </c>
      <c r="AJ72" s="1369" t="str">
        <f>IFERROR(ROUNDDOWN(ROUND((L70*(V72-AX70)),0)*M70,0)*AG72,"")</f>
        <v/>
      </c>
      <c r="AK72" s="1371">
        <f>IFERROR(IF(OR(N70="",N71="",N73=""),0,ROUNDDOWN(ROUNDDOWN(ROUND(L70*VLOOKUP(K70,【参考】数式用!$A$5:$AB$27,MATCH("新加算Ⅳ",【参考】数式用!$B$4:$AB$4,0)+1,0),0)*M70,0)*AG72*0.5,0)),"")</f>
        <v>0</v>
      </c>
      <c r="AL72" s="1361" t="str">
        <f t="shared" ref="AL72" si="43">IF(U72&lt;&gt;"","新規に適用","")</f>
        <v/>
      </c>
      <c r="AM72" s="1373">
        <f>IFERROR(IF(OR(N73="ベア加算",N73=""),0, IF(OR(U70="新加算Ⅰ",U70="新加算Ⅱ",U70="新加算Ⅲ",U70="新加算Ⅳ"),0,ROUNDDOWN(ROUND(L70*VLOOKUP(K70,【参考】数式用!$A$5:$I$27,MATCH("ベア加算",【参考】数式用!$B$4:$I$4,0)+1,0),0)*M70,0)*AG72)),"")</f>
        <v>0</v>
      </c>
      <c r="AN72" s="1345" t="str">
        <f>IF(AND(U72&lt;&gt;"",AN70=""),"新規に適用",IF(AND(U72&lt;&gt;"",AN70&lt;&gt;""),"継続で適用",""))</f>
        <v/>
      </c>
      <c r="AO72" s="1345" t="str">
        <f>IF(AND(U72&lt;&gt;"",AO70=""),"新規に適用",IF(AND(U72&lt;&gt;"",AO70&lt;&gt;""),"継続で適用",""))</f>
        <v/>
      </c>
      <c r="AP72" s="1391"/>
      <c r="AQ72" s="1345" t="str">
        <f>IF(AND(U72&lt;&gt;"",AQ70=""),"新規に適用",IF(AND(U72&lt;&gt;"",AQ70&lt;&gt;""),"継続で適用",""))</f>
        <v/>
      </c>
      <c r="AR72" s="1349" t="str">
        <f t="shared" si="19"/>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316"/>
      <c r="B73" s="1439"/>
      <c r="C73" s="1440"/>
      <c r="D73" s="1440"/>
      <c r="E73" s="1440"/>
      <c r="F73" s="1441"/>
      <c r="G73" s="1269"/>
      <c r="H73" s="1269"/>
      <c r="I73" s="1269"/>
      <c r="J73" s="1444"/>
      <c r="K73" s="1269"/>
      <c r="L73" s="1275"/>
      <c r="M73" s="1278"/>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66"/>
      <c r="AI73" s="1368"/>
      <c r="AJ73" s="1370"/>
      <c r="AK73" s="1372"/>
      <c r="AL73" s="1362"/>
      <c r="AM73" s="1374"/>
      <c r="AN73" s="1346"/>
      <c r="AO73" s="1346"/>
      <c r="AP73" s="1392"/>
      <c r="AQ73" s="1346"/>
      <c r="AR73" s="1350"/>
      <c r="AS73" s="1346"/>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43" t="str">
        <f>IF(基本情報入力シート!X69="","",基本情報入力シート!X69)</f>
        <v/>
      </c>
      <c r="K74" s="1268" t="str">
        <f>IF(基本情報入力シート!Y69="","",基本情報入力シート!Y69)</f>
        <v/>
      </c>
      <c r="L74" s="1274"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2173</v>
      </c>
      <c r="U74" s="1433"/>
      <c r="V74" s="1435" t="str">
        <f>IFERROR(VLOOKUP(K74,【参考】数式用!$A$5:$AB$27,MATCH(U74,【参考】数式用!$B$4:$AB$4,0)+1,0),"")</f>
        <v/>
      </c>
      <c r="W74" s="1437" t="s">
        <v>19</v>
      </c>
      <c r="X74" s="1375">
        <v>6</v>
      </c>
      <c r="Y74" s="1377" t="s">
        <v>10</v>
      </c>
      <c r="Z74" s="1375">
        <v>6</v>
      </c>
      <c r="AA74" s="1377" t="s">
        <v>45</v>
      </c>
      <c r="AB74" s="1375">
        <v>7</v>
      </c>
      <c r="AC74" s="1377" t="s">
        <v>10</v>
      </c>
      <c r="AD74" s="1375">
        <v>3</v>
      </c>
      <c r="AE74" s="1377" t="s">
        <v>13</v>
      </c>
      <c r="AF74" s="1377" t="s">
        <v>24</v>
      </c>
      <c r="AG74" s="1377">
        <f>IF(X74&gt;=1,(AB74*12+AD74)-(X74*12+Z74)+1,"")</f>
        <v>10</v>
      </c>
      <c r="AH74" s="1379" t="s">
        <v>38</v>
      </c>
      <c r="AI74" s="1381" t="str">
        <f>IFERROR(ROUNDDOWN(ROUND(L74*V74,0)*M74,0)*AG74,"")</f>
        <v/>
      </c>
      <c r="AJ74" s="1383" t="str">
        <f>IFERROR(ROUNDDOWN(ROUND((L74*(V74-AX74)),0)*M74,0)*AG74,"")</f>
        <v/>
      </c>
      <c r="AK74" s="1385">
        <f>IFERROR(IF(OR(N74="",N75="",N77=""),0,ROUNDDOWN(ROUNDDOWN(ROUND(L74*VLOOKUP(K74,【参考】数式用!$A$5:$AB$27,MATCH("新加算Ⅳ",【参考】数式用!$B$4:$AB$4,0)+1,0),0)*M74,0)*AG74*0.5,0)),"")</f>
        <v>0</v>
      </c>
      <c r="AL74" s="1363"/>
      <c r="AM74" s="138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2098</v>
      </c>
      <c r="BA74" s="1247" t="s">
        <v>2099</v>
      </c>
      <c r="BB74" s="1247" t="s">
        <v>2100</v>
      </c>
      <c r="BC74" s="1247" t="s">
        <v>2101</v>
      </c>
      <c r="BD74" s="1247" t="str">
        <f>IF(AND(P74&lt;&gt;"新加算Ⅰ",P74&lt;&gt;"新加算Ⅱ",P74&lt;&gt;"新加算Ⅲ",P74&lt;&gt;"新加算Ⅳ"),P74,IF(Q76&lt;&gt;"",Q76,""))</f>
        <v/>
      </c>
      <c r="BE74" s="1247"/>
      <c r="BF74" s="1247" t="str">
        <f t="shared" ref="BF74" si="45">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315"/>
      <c r="B75" s="1301"/>
      <c r="C75" s="1302"/>
      <c r="D75" s="1302"/>
      <c r="E75" s="1302"/>
      <c r="F75" s="1303"/>
      <c r="G75" s="1268"/>
      <c r="H75" s="1268"/>
      <c r="I75" s="1268"/>
      <c r="J75" s="1443"/>
      <c r="K75" s="1268"/>
      <c r="L75" s="1274"/>
      <c r="M75" s="1445"/>
      <c r="N75" s="1399" t="str">
        <f>IF('別紙様式2-2（４・５月分）'!Q60="","",'別紙様式2-2（４・５月分）'!Q60)</f>
        <v/>
      </c>
      <c r="O75" s="1420"/>
      <c r="P75" s="1426"/>
      <c r="Q75" s="1427"/>
      <c r="R75" s="1428"/>
      <c r="S75" s="1430"/>
      <c r="T75" s="1432"/>
      <c r="U75" s="1434"/>
      <c r="V75" s="1436"/>
      <c r="W75" s="1438"/>
      <c r="X75" s="1376"/>
      <c r="Y75" s="1378"/>
      <c r="Z75" s="1376"/>
      <c r="AA75" s="1378"/>
      <c r="AB75" s="1376"/>
      <c r="AC75" s="1378"/>
      <c r="AD75" s="1376"/>
      <c r="AE75" s="1378"/>
      <c r="AF75" s="1378"/>
      <c r="AG75" s="1378"/>
      <c r="AH75" s="1380"/>
      <c r="AI75" s="1382"/>
      <c r="AJ75" s="1384"/>
      <c r="AK75" s="1386"/>
      <c r="AL75" s="1364"/>
      <c r="AM75" s="138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1"/>
      <c r="C76" s="1302"/>
      <c r="D76" s="1302"/>
      <c r="E76" s="1302"/>
      <c r="F76" s="1303"/>
      <c r="G76" s="1268"/>
      <c r="H76" s="1268"/>
      <c r="I76" s="1268"/>
      <c r="J76" s="1443"/>
      <c r="K76" s="1268"/>
      <c r="L76" s="1274"/>
      <c r="M76" s="1445"/>
      <c r="N76" s="1400"/>
      <c r="O76" s="1421"/>
      <c r="P76" s="1401" t="s">
        <v>2179</v>
      </c>
      <c r="Q76" s="1403" t="str">
        <f>IFERROR(VLOOKUP('別紙様式2-2（４・５月分）'!AR59,【参考】数式用!$AT$5:$AV$22,3,FALSE),"")</f>
        <v/>
      </c>
      <c r="R76" s="1405" t="s">
        <v>2190</v>
      </c>
      <c r="S76" s="1447" t="str">
        <f>IFERROR(VLOOKUP(K74,【参考】数式用!$A$5:$AB$27,MATCH(Q76,【参考】数式用!$B$4:$AB$4,0)+1,0),"")</f>
        <v/>
      </c>
      <c r="T76" s="1409" t="s">
        <v>217</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5" t="s">
        <v>38</v>
      </c>
      <c r="AI76" s="1367" t="str">
        <f>IFERROR(ROUNDDOWN(ROUND(L74*V76,0)*M74,0)*AG76,"")</f>
        <v/>
      </c>
      <c r="AJ76" s="1369" t="str">
        <f>IFERROR(ROUNDDOWN(ROUND((L74*(V76-AX74)),0)*M74,0)*AG76,"")</f>
        <v/>
      </c>
      <c r="AK76" s="1371">
        <f>IFERROR(IF(OR(N74="",N75="",N77=""),0,ROUNDDOWN(ROUNDDOWN(ROUND(L74*VLOOKUP(K74,【参考】数式用!$A$5:$AB$27,MATCH("新加算Ⅳ",【参考】数式用!$B$4:$AB$4,0)+1,0),0)*M74,0)*AG76*0.5,0)),"")</f>
        <v>0</v>
      </c>
      <c r="AL76" s="1361" t="str">
        <f t="shared" ref="AL76" si="46">IF(U76&lt;&gt;"","新規に適用","")</f>
        <v/>
      </c>
      <c r="AM76" s="1373">
        <f>IFERROR(IF(OR(N77="ベア加算",N77=""),0, IF(OR(U74="新加算Ⅰ",U74="新加算Ⅱ",U74="新加算Ⅲ",U74="新加算Ⅳ"),0,ROUNDDOWN(ROUND(L74*VLOOKUP(K74,【参考】数式用!$A$5:$I$27,MATCH("ベア加算",【参考】数式用!$B$4:$I$4,0)+1,0),0)*M74,0)*AG76)),"")</f>
        <v>0</v>
      </c>
      <c r="AN76" s="1345" t="str">
        <f>IF(AND(U76&lt;&gt;"",AN74=""),"新規に適用",IF(AND(U76&lt;&gt;"",AN74&lt;&gt;""),"継続で適用",""))</f>
        <v/>
      </c>
      <c r="AO76" s="1345" t="str">
        <f>IF(AND(U76&lt;&gt;"",AO74=""),"新規に適用",IF(AND(U76&lt;&gt;"",AO74&lt;&gt;""),"継続で適用",""))</f>
        <v/>
      </c>
      <c r="AP76" s="1391"/>
      <c r="AQ76" s="1345" t="str">
        <f>IF(AND(U76&lt;&gt;"",AQ74=""),"新規に適用",IF(AND(U76&lt;&gt;"",AQ74&lt;&gt;""),"継続で適用",""))</f>
        <v/>
      </c>
      <c r="AR76" s="1349" t="str">
        <f t="shared" si="19"/>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316"/>
      <c r="B77" s="1439"/>
      <c r="C77" s="1440"/>
      <c r="D77" s="1440"/>
      <c r="E77" s="1440"/>
      <c r="F77" s="1441"/>
      <c r="G77" s="1269"/>
      <c r="H77" s="1269"/>
      <c r="I77" s="1269"/>
      <c r="J77" s="1444"/>
      <c r="K77" s="1269"/>
      <c r="L77" s="1275"/>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66"/>
      <c r="AI77" s="1368"/>
      <c r="AJ77" s="1370"/>
      <c r="AK77" s="1372"/>
      <c r="AL77" s="1362"/>
      <c r="AM77" s="1374"/>
      <c r="AN77" s="1346"/>
      <c r="AO77" s="1346"/>
      <c r="AP77" s="1392"/>
      <c r="AQ77" s="1346"/>
      <c r="AR77" s="1350"/>
      <c r="AS77" s="1346"/>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314">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4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2173</v>
      </c>
      <c r="U78" s="1433"/>
      <c r="V78" s="1435" t="str">
        <f>IFERROR(VLOOKUP(K78,【参考】数式用!$A$5:$AB$27,MATCH(U78,【参考】数式用!$B$4:$AB$4,0)+1,0),"")</f>
        <v/>
      </c>
      <c r="W78" s="1437" t="s">
        <v>19</v>
      </c>
      <c r="X78" s="1375">
        <v>6</v>
      </c>
      <c r="Y78" s="1377" t="s">
        <v>10</v>
      </c>
      <c r="Z78" s="1375">
        <v>6</v>
      </c>
      <c r="AA78" s="1377" t="s">
        <v>45</v>
      </c>
      <c r="AB78" s="1375">
        <v>7</v>
      </c>
      <c r="AC78" s="1377" t="s">
        <v>10</v>
      </c>
      <c r="AD78" s="1375">
        <v>3</v>
      </c>
      <c r="AE78" s="1377" t="s">
        <v>13</v>
      </c>
      <c r="AF78" s="1377" t="s">
        <v>24</v>
      </c>
      <c r="AG78" s="1377">
        <f>IF(X78&gt;=1,(AB78*12+AD78)-(X78*12+Z78)+1,"")</f>
        <v>10</v>
      </c>
      <c r="AH78" s="1379" t="s">
        <v>38</v>
      </c>
      <c r="AI78" s="1381" t="str">
        <f>IFERROR(ROUNDDOWN(ROUND(L78*V78,0)*M78,0)*AG78,"")</f>
        <v/>
      </c>
      <c r="AJ78" s="1383" t="str">
        <f>IFERROR(ROUNDDOWN(ROUND((L78*(V78-AX78)),0)*M78,0)*AG78,"")</f>
        <v/>
      </c>
      <c r="AK78" s="1385">
        <f>IFERROR(IF(OR(N78="",N79="",N81=""),0,ROUNDDOWN(ROUNDDOWN(ROUND(L78*VLOOKUP(K78,【参考】数式用!$A$5:$AB$27,MATCH("新加算Ⅳ",【参考】数式用!$B$4:$AB$4,0)+1,0),0)*M78,0)*AG78*0.5,0)),"")</f>
        <v>0</v>
      </c>
      <c r="AL78" s="1363"/>
      <c r="AM78" s="138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2098</v>
      </c>
      <c r="BA78" s="1247" t="s">
        <v>2099</v>
      </c>
      <c r="BB78" s="1247" t="s">
        <v>2100</v>
      </c>
      <c r="BC78" s="1247" t="s">
        <v>2101</v>
      </c>
      <c r="BD78" s="1247" t="str">
        <f>IF(AND(P78&lt;&gt;"新加算Ⅰ",P78&lt;&gt;"新加算Ⅱ",P78&lt;&gt;"新加算Ⅲ",P78&lt;&gt;"新加算Ⅳ"),P78,IF(Q80&lt;&gt;"",Q80,""))</f>
        <v/>
      </c>
      <c r="BE78" s="1247"/>
      <c r="BF78" s="1247" t="str">
        <f t="shared" ref="BF78" si="48">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315"/>
      <c r="B79" s="1301"/>
      <c r="C79" s="1302"/>
      <c r="D79" s="1302"/>
      <c r="E79" s="1302"/>
      <c r="F79" s="1303"/>
      <c r="G79" s="1268"/>
      <c r="H79" s="1268"/>
      <c r="I79" s="1268"/>
      <c r="J79" s="1443"/>
      <c r="K79" s="1268"/>
      <c r="L79" s="1274"/>
      <c r="M79" s="1277"/>
      <c r="N79" s="1399" t="str">
        <f>IF('別紙様式2-2（４・５月分）'!Q63="","",'別紙様式2-2（４・５月分）'!Q63)</f>
        <v/>
      </c>
      <c r="O79" s="1420"/>
      <c r="P79" s="1426"/>
      <c r="Q79" s="1427"/>
      <c r="R79" s="1428"/>
      <c r="S79" s="1430"/>
      <c r="T79" s="1432"/>
      <c r="U79" s="1434"/>
      <c r="V79" s="1436"/>
      <c r="W79" s="1438"/>
      <c r="X79" s="1376"/>
      <c r="Y79" s="1378"/>
      <c r="Z79" s="1376"/>
      <c r="AA79" s="1378"/>
      <c r="AB79" s="1376"/>
      <c r="AC79" s="1378"/>
      <c r="AD79" s="1376"/>
      <c r="AE79" s="1378"/>
      <c r="AF79" s="1378"/>
      <c r="AG79" s="1378"/>
      <c r="AH79" s="1380"/>
      <c r="AI79" s="1382"/>
      <c r="AJ79" s="1384"/>
      <c r="AK79" s="1386"/>
      <c r="AL79" s="1364"/>
      <c r="AM79" s="138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1"/>
      <c r="C80" s="1302"/>
      <c r="D80" s="1302"/>
      <c r="E80" s="1302"/>
      <c r="F80" s="1303"/>
      <c r="G80" s="1268"/>
      <c r="H80" s="1268"/>
      <c r="I80" s="1268"/>
      <c r="J80" s="1443"/>
      <c r="K80" s="1268"/>
      <c r="L80" s="1274"/>
      <c r="M80" s="1277"/>
      <c r="N80" s="1400"/>
      <c r="O80" s="1421"/>
      <c r="P80" s="1401" t="s">
        <v>2179</v>
      </c>
      <c r="Q80" s="1403" t="str">
        <f>IFERROR(VLOOKUP('別紙様式2-2（４・５月分）'!AR62,【参考】数式用!$AT$5:$AV$22,3,FALSE),"")</f>
        <v/>
      </c>
      <c r="R80" s="1405" t="s">
        <v>2190</v>
      </c>
      <c r="S80" s="1407" t="str">
        <f>IFERROR(VLOOKUP(K78,【参考】数式用!$A$5:$AB$27,MATCH(Q80,【参考】数式用!$B$4:$AB$4,0)+1,0),"")</f>
        <v/>
      </c>
      <c r="T80" s="1409" t="s">
        <v>217</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5" t="s">
        <v>38</v>
      </c>
      <c r="AI80" s="1367" t="str">
        <f>IFERROR(ROUNDDOWN(ROUND(L78*V80,0)*M78,0)*AG80,"")</f>
        <v/>
      </c>
      <c r="AJ80" s="1369" t="str">
        <f>IFERROR(ROUNDDOWN(ROUND((L78*(V80-AX78)),0)*M78,0)*AG80,"")</f>
        <v/>
      </c>
      <c r="AK80" s="1371">
        <f>IFERROR(IF(OR(N78="",N79="",N81=""),0,ROUNDDOWN(ROUNDDOWN(ROUND(L78*VLOOKUP(K78,【参考】数式用!$A$5:$AB$27,MATCH("新加算Ⅳ",【参考】数式用!$B$4:$AB$4,0)+1,0),0)*M78,0)*AG80*0.5,0)),"")</f>
        <v>0</v>
      </c>
      <c r="AL80" s="1361" t="str">
        <f t="shared" ref="AL80" si="49">IF(U80&lt;&gt;"","新規に適用","")</f>
        <v/>
      </c>
      <c r="AM80" s="1373">
        <f>IFERROR(IF(OR(N81="ベア加算",N81=""),0, IF(OR(U78="新加算Ⅰ",U78="新加算Ⅱ",U78="新加算Ⅲ",U78="新加算Ⅳ"),0,ROUNDDOWN(ROUND(L78*VLOOKUP(K78,【参考】数式用!$A$5:$I$27,MATCH("ベア加算",【参考】数式用!$B$4:$I$4,0)+1,0),0)*M78,0)*AG80)),"")</f>
        <v>0</v>
      </c>
      <c r="AN80" s="1345" t="str">
        <f>IF(AND(U80&lt;&gt;"",AN78=""),"新規に適用",IF(AND(U80&lt;&gt;"",AN78&lt;&gt;""),"継続で適用",""))</f>
        <v/>
      </c>
      <c r="AO80" s="1345" t="str">
        <f>IF(AND(U80&lt;&gt;"",AO78=""),"新規に適用",IF(AND(U80&lt;&gt;"",AO78&lt;&gt;""),"継続で適用",""))</f>
        <v/>
      </c>
      <c r="AP80" s="1391"/>
      <c r="AQ80" s="1345" t="str">
        <f>IF(AND(U80&lt;&gt;"",AQ78=""),"新規に適用",IF(AND(U80&lt;&gt;"",AQ78&lt;&gt;""),"継続で適用",""))</f>
        <v/>
      </c>
      <c r="AR80" s="1349" t="str">
        <f t="shared" si="19"/>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316"/>
      <c r="B81" s="1439"/>
      <c r="C81" s="1440"/>
      <c r="D81" s="1440"/>
      <c r="E81" s="1440"/>
      <c r="F81" s="1441"/>
      <c r="G81" s="1269"/>
      <c r="H81" s="1269"/>
      <c r="I81" s="1269"/>
      <c r="J81" s="1444"/>
      <c r="K81" s="1269"/>
      <c r="L81" s="1275"/>
      <c r="M81" s="1278"/>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66"/>
      <c r="AI81" s="1368"/>
      <c r="AJ81" s="1370"/>
      <c r="AK81" s="1372"/>
      <c r="AL81" s="1362"/>
      <c r="AM81" s="1374"/>
      <c r="AN81" s="1346"/>
      <c r="AO81" s="1346"/>
      <c r="AP81" s="1392"/>
      <c r="AQ81" s="1346"/>
      <c r="AR81" s="1350"/>
      <c r="AS81" s="1346"/>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43" t="str">
        <f>IF(基本情報入力シート!X71="","",基本情報入力シート!X71)</f>
        <v/>
      </c>
      <c r="K82" s="1268" t="str">
        <f>IF(基本情報入力シート!Y71="","",基本情報入力シート!Y71)</f>
        <v/>
      </c>
      <c r="L82" s="1274"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2173</v>
      </c>
      <c r="U82" s="1433"/>
      <c r="V82" s="1435" t="str">
        <f>IFERROR(VLOOKUP(K82,【参考】数式用!$A$5:$AB$27,MATCH(U82,【参考】数式用!$B$4:$AB$4,0)+1,0),"")</f>
        <v/>
      </c>
      <c r="W82" s="1437" t="s">
        <v>19</v>
      </c>
      <c r="X82" s="1375">
        <v>6</v>
      </c>
      <c r="Y82" s="1377" t="s">
        <v>10</v>
      </c>
      <c r="Z82" s="1375">
        <v>6</v>
      </c>
      <c r="AA82" s="1377" t="s">
        <v>45</v>
      </c>
      <c r="AB82" s="1375">
        <v>7</v>
      </c>
      <c r="AC82" s="1377" t="s">
        <v>10</v>
      </c>
      <c r="AD82" s="1375">
        <v>3</v>
      </c>
      <c r="AE82" s="1377" t="s">
        <v>13</v>
      </c>
      <c r="AF82" s="1377" t="s">
        <v>24</v>
      </c>
      <c r="AG82" s="1377">
        <f>IF(X82&gt;=1,(AB82*12+AD82)-(X82*12+Z82)+1,"")</f>
        <v>10</v>
      </c>
      <c r="AH82" s="1379" t="s">
        <v>38</v>
      </c>
      <c r="AI82" s="1381" t="str">
        <f>IFERROR(ROUNDDOWN(ROUND(L82*V82,0)*M82,0)*AG82,"")</f>
        <v/>
      </c>
      <c r="AJ82" s="1383" t="str">
        <f>IFERROR(ROUNDDOWN(ROUND((L82*(V82-AX82)),0)*M82,0)*AG82,"")</f>
        <v/>
      </c>
      <c r="AK82" s="1385">
        <f>IFERROR(IF(OR(N82="",N83="",N85=""),0,ROUNDDOWN(ROUNDDOWN(ROUND(L82*VLOOKUP(K82,【参考】数式用!$A$5:$AB$27,MATCH("新加算Ⅳ",【参考】数式用!$B$4:$AB$4,0)+1,0),0)*M82,0)*AG82*0.5,0)),"")</f>
        <v>0</v>
      </c>
      <c r="AL82" s="1363"/>
      <c r="AM82" s="138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1">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2098</v>
      </c>
      <c r="BA82" s="1247" t="s">
        <v>2099</v>
      </c>
      <c r="BB82" s="1247" t="s">
        <v>2100</v>
      </c>
      <c r="BC82" s="1247" t="s">
        <v>2101</v>
      </c>
      <c r="BD82" s="1247" t="str">
        <f>IF(AND(P82&lt;&gt;"新加算Ⅰ",P82&lt;&gt;"新加算Ⅱ",P82&lt;&gt;"新加算Ⅲ",P82&lt;&gt;"新加算Ⅳ"),P82,IF(Q84&lt;&gt;"",Q84,""))</f>
        <v/>
      </c>
      <c r="BE82" s="1247"/>
      <c r="BF82" s="1247" t="str">
        <f t="shared" ref="BF82" si="52">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315"/>
      <c r="B83" s="1301"/>
      <c r="C83" s="1302"/>
      <c r="D83" s="1302"/>
      <c r="E83" s="1302"/>
      <c r="F83" s="1303"/>
      <c r="G83" s="1268"/>
      <c r="H83" s="1268"/>
      <c r="I83" s="1268"/>
      <c r="J83" s="1443"/>
      <c r="K83" s="1268"/>
      <c r="L83" s="1274"/>
      <c r="M83" s="1445"/>
      <c r="N83" s="1399" t="str">
        <f>IF('別紙様式2-2（４・５月分）'!Q66="","",'別紙様式2-2（４・５月分）'!Q66)</f>
        <v/>
      </c>
      <c r="O83" s="1420"/>
      <c r="P83" s="1426"/>
      <c r="Q83" s="1427"/>
      <c r="R83" s="1428"/>
      <c r="S83" s="1430"/>
      <c r="T83" s="1432"/>
      <c r="U83" s="1434"/>
      <c r="V83" s="1436"/>
      <c r="W83" s="1438"/>
      <c r="X83" s="1376"/>
      <c r="Y83" s="1378"/>
      <c r="Z83" s="1376"/>
      <c r="AA83" s="1378"/>
      <c r="AB83" s="1376"/>
      <c r="AC83" s="1378"/>
      <c r="AD83" s="1376"/>
      <c r="AE83" s="1378"/>
      <c r="AF83" s="1378"/>
      <c r="AG83" s="1378"/>
      <c r="AH83" s="1380"/>
      <c r="AI83" s="1382"/>
      <c r="AJ83" s="1384"/>
      <c r="AK83" s="1386"/>
      <c r="AL83" s="1364"/>
      <c r="AM83" s="1388"/>
      <c r="AN83" s="1360"/>
      <c r="AO83" s="1390"/>
      <c r="AP83" s="1394"/>
      <c r="AQ83" s="1394"/>
      <c r="AR83" s="1396"/>
      <c r="AS83" s="1348"/>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1"/>
      <c r="C84" s="1302"/>
      <c r="D84" s="1302"/>
      <c r="E84" s="1302"/>
      <c r="F84" s="1303"/>
      <c r="G84" s="1268"/>
      <c r="H84" s="1268"/>
      <c r="I84" s="1268"/>
      <c r="J84" s="1443"/>
      <c r="K84" s="1268"/>
      <c r="L84" s="1274"/>
      <c r="M84" s="1445"/>
      <c r="N84" s="1400"/>
      <c r="O84" s="1421"/>
      <c r="P84" s="1401" t="s">
        <v>2179</v>
      </c>
      <c r="Q84" s="1403" t="str">
        <f>IFERROR(VLOOKUP('別紙様式2-2（４・５月分）'!AR65,【参考】数式用!$AT$5:$AV$22,3,FALSE),"")</f>
        <v/>
      </c>
      <c r="R84" s="1405" t="s">
        <v>2190</v>
      </c>
      <c r="S84" s="1447" t="str">
        <f>IFERROR(VLOOKUP(K82,【参考】数式用!$A$5:$AB$27,MATCH(Q84,【参考】数式用!$B$4:$AB$4,0)+1,0),"")</f>
        <v/>
      </c>
      <c r="T84" s="1409" t="s">
        <v>217</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5" t="s">
        <v>38</v>
      </c>
      <c r="AI84" s="1367" t="str">
        <f>IFERROR(ROUNDDOWN(ROUND(L82*V84,0)*M82,0)*AG84,"")</f>
        <v/>
      </c>
      <c r="AJ84" s="1369" t="str">
        <f>IFERROR(ROUNDDOWN(ROUND((L82*(V84-AX82)),0)*M82,0)*AG84,"")</f>
        <v/>
      </c>
      <c r="AK84" s="1371">
        <f>IFERROR(IF(OR(N82="",N83="",N85=""),0,ROUNDDOWN(ROUNDDOWN(ROUND(L82*VLOOKUP(K82,【参考】数式用!$A$5:$AB$27,MATCH("新加算Ⅳ",【参考】数式用!$B$4:$AB$4,0)+1,0),0)*M82,0)*AG84*0.5,0)),"")</f>
        <v>0</v>
      </c>
      <c r="AL84" s="1361" t="str">
        <f t="shared" ref="AL84" si="54">IF(U84&lt;&gt;"","新規に適用","")</f>
        <v/>
      </c>
      <c r="AM84" s="1373">
        <f>IFERROR(IF(OR(N85="ベア加算",N85=""),0, IF(OR(U82="新加算Ⅰ",U82="新加算Ⅱ",U82="新加算Ⅲ",U82="新加算Ⅳ"),0,ROUNDDOWN(ROUND(L82*VLOOKUP(K82,【参考】数式用!$A$5:$I$27,MATCH("ベア加算",【参考】数式用!$B$4:$I$4,0)+1,0),0)*M82,0)*AG84)),"")</f>
        <v>0</v>
      </c>
      <c r="AN84" s="1345" t="str">
        <f>IF(AND(U84&lt;&gt;"",AN82=""),"新規に適用",IF(AND(U84&lt;&gt;"",AN82&lt;&gt;""),"継続で適用",""))</f>
        <v/>
      </c>
      <c r="AO84" s="1345" t="str">
        <f>IF(AND(U84&lt;&gt;"",AO82=""),"新規に適用",IF(AND(U84&lt;&gt;"",AO82&lt;&gt;""),"継続で適用",""))</f>
        <v/>
      </c>
      <c r="AP84" s="1391"/>
      <c r="AQ84" s="1345" t="str">
        <f>IF(AND(U84&lt;&gt;"",AQ82=""),"新規に適用",IF(AND(U84&lt;&gt;"",AQ82&lt;&gt;""),"継続で適用",""))</f>
        <v/>
      </c>
      <c r="AR84" s="1349" t="str">
        <f t="shared" si="19"/>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316"/>
      <c r="B85" s="1439"/>
      <c r="C85" s="1440"/>
      <c r="D85" s="1440"/>
      <c r="E85" s="1440"/>
      <c r="F85" s="1441"/>
      <c r="G85" s="1269"/>
      <c r="H85" s="1269"/>
      <c r="I85" s="1269"/>
      <c r="J85" s="1444"/>
      <c r="K85" s="1269"/>
      <c r="L85" s="1275"/>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66"/>
      <c r="AI85" s="1368"/>
      <c r="AJ85" s="1370"/>
      <c r="AK85" s="1372"/>
      <c r="AL85" s="1362"/>
      <c r="AM85" s="1374"/>
      <c r="AN85" s="1346"/>
      <c r="AO85" s="1346"/>
      <c r="AP85" s="1392"/>
      <c r="AQ85" s="1346"/>
      <c r="AR85" s="1350"/>
      <c r="AS85" s="1346"/>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314">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4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2173</v>
      </c>
      <c r="U86" s="1433"/>
      <c r="V86" s="1435" t="str">
        <f>IFERROR(VLOOKUP(K86,【参考】数式用!$A$5:$AB$27,MATCH(U86,【参考】数式用!$B$4:$AB$4,0)+1,0),"")</f>
        <v/>
      </c>
      <c r="W86" s="1437" t="s">
        <v>19</v>
      </c>
      <c r="X86" s="1375">
        <v>6</v>
      </c>
      <c r="Y86" s="1377" t="s">
        <v>10</v>
      </c>
      <c r="Z86" s="1375">
        <v>6</v>
      </c>
      <c r="AA86" s="1377" t="s">
        <v>45</v>
      </c>
      <c r="AB86" s="1375">
        <v>7</v>
      </c>
      <c r="AC86" s="1377" t="s">
        <v>10</v>
      </c>
      <c r="AD86" s="1375">
        <v>3</v>
      </c>
      <c r="AE86" s="1377" t="s">
        <v>13</v>
      </c>
      <c r="AF86" s="1377" t="s">
        <v>24</v>
      </c>
      <c r="AG86" s="1377">
        <f>IF(X86&gt;=1,(AB86*12+AD86)-(X86*12+Z86)+1,"")</f>
        <v>10</v>
      </c>
      <c r="AH86" s="1379" t="s">
        <v>38</v>
      </c>
      <c r="AI86" s="1381" t="str">
        <f>IFERROR(ROUNDDOWN(ROUND(L86*V86,0)*M86,0)*AG86,"")</f>
        <v/>
      </c>
      <c r="AJ86" s="1383" t="str">
        <f>IFERROR(ROUNDDOWN(ROUND((L86*(V86-AX86)),0)*M86,0)*AG86,"")</f>
        <v/>
      </c>
      <c r="AK86" s="1385">
        <f>IFERROR(IF(OR(N86="",N87="",N89=""),0,ROUNDDOWN(ROUNDDOWN(ROUND(L86*VLOOKUP(K86,【参考】数式用!$A$5:$AB$27,MATCH("新加算Ⅳ",【参考】数式用!$B$4:$AB$4,0)+1,0),0)*M86,0)*AG86*0.5,0)),"")</f>
        <v>0</v>
      </c>
      <c r="AL86" s="1363"/>
      <c r="AM86" s="138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1"/>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2098</v>
      </c>
      <c r="BA86" s="1247" t="s">
        <v>2099</v>
      </c>
      <c r="BB86" s="1247" t="s">
        <v>2100</v>
      </c>
      <c r="BC86" s="1247" t="s">
        <v>2101</v>
      </c>
      <c r="BD86" s="1247" t="str">
        <f>IF(AND(P86&lt;&gt;"新加算Ⅰ",P86&lt;&gt;"新加算Ⅱ",P86&lt;&gt;"新加算Ⅲ",P86&lt;&gt;"新加算Ⅳ"),P86,IF(Q88&lt;&gt;"",Q88,""))</f>
        <v/>
      </c>
      <c r="BE86" s="1247"/>
      <c r="BF86" s="1247" t="str">
        <f t="shared" ref="BF86" si="56">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315"/>
      <c r="B87" s="1301"/>
      <c r="C87" s="1302"/>
      <c r="D87" s="1302"/>
      <c r="E87" s="1302"/>
      <c r="F87" s="1303"/>
      <c r="G87" s="1268"/>
      <c r="H87" s="1268"/>
      <c r="I87" s="1268"/>
      <c r="J87" s="1443"/>
      <c r="K87" s="1268"/>
      <c r="L87" s="1274"/>
      <c r="M87" s="1277"/>
      <c r="N87" s="1399" t="str">
        <f>IF('別紙様式2-2（４・５月分）'!Q69="","",'別紙様式2-2（４・５月分）'!Q69)</f>
        <v/>
      </c>
      <c r="O87" s="1420"/>
      <c r="P87" s="1426"/>
      <c r="Q87" s="1427"/>
      <c r="R87" s="1428"/>
      <c r="S87" s="1430"/>
      <c r="T87" s="1432"/>
      <c r="U87" s="1434"/>
      <c r="V87" s="1436"/>
      <c r="W87" s="1438"/>
      <c r="X87" s="1376"/>
      <c r="Y87" s="1378"/>
      <c r="Z87" s="1376"/>
      <c r="AA87" s="1378"/>
      <c r="AB87" s="1376"/>
      <c r="AC87" s="1378"/>
      <c r="AD87" s="1376"/>
      <c r="AE87" s="1378"/>
      <c r="AF87" s="1378"/>
      <c r="AG87" s="1378"/>
      <c r="AH87" s="1380"/>
      <c r="AI87" s="1382"/>
      <c r="AJ87" s="1384"/>
      <c r="AK87" s="1386"/>
      <c r="AL87" s="1364"/>
      <c r="AM87" s="1388"/>
      <c r="AN87" s="1360"/>
      <c r="AO87" s="1390"/>
      <c r="AP87" s="1394"/>
      <c r="AQ87" s="1394"/>
      <c r="AR87" s="1396"/>
      <c r="AS87" s="1348"/>
      <c r="AT87" s="1334" t="str">
        <f t="shared" si="53"/>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1"/>
      <c r="C88" s="1302"/>
      <c r="D88" s="1302"/>
      <c r="E88" s="1302"/>
      <c r="F88" s="1303"/>
      <c r="G88" s="1268"/>
      <c r="H88" s="1268"/>
      <c r="I88" s="1268"/>
      <c r="J88" s="1443"/>
      <c r="K88" s="1268"/>
      <c r="L88" s="1274"/>
      <c r="M88" s="1277"/>
      <c r="N88" s="1400"/>
      <c r="O88" s="1421"/>
      <c r="P88" s="1401" t="s">
        <v>2179</v>
      </c>
      <c r="Q88" s="1403" t="str">
        <f>IFERROR(VLOOKUP('別紙様式2-2（４・５月分）'!AR68,【参考】数式用!$AT$5:$AV$22,3,FALSE),"")</f>
        <v/>
      </c>
      <c r="R88" s="1405" t="s">
        <v>2190</v>
      </c>
      <c r="S88" s="1407" t="str">
        <f>IFERROR(VLOOKUP(K86,【参考】数式用!$A$5:$AB$27,MATCH(Q88,【参考】数式用!$B$4:$AB$4,0)+1,0),"")</f>
        <v/>
      </c>
      <c r="T88" s="1409" t="s">
        <v>217</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5" t="s">
        <v>38</v>
      </c>
      <c r="AI88" s="1367" t="str">
        <f>IFERROR(ROUNDDOWN(ROUND(L86*V88,0)*M86,0)*AG88,"")</f>
        <v/>
      </c>
      <c r="AJ88" s="1369" t="str">
        <f>IFERROR(ROUNDDOWN(ROUND((L86*(V88-AX86)),0)*M86,0)*AG88,"")</f>
        <v/>
      </c>
      <c r="AK88" s="1371">
        <f>IFERROR(IF(OR(N86="",N87="",N89=""),0,ROUNDDOWN(ROUNDDOWN(ROUND(L86*VLOOKUP(K86,【参考】数式用!$A$5:$AB$27,MATCH("新加算Ⅳ",【参考】数式用!$B$4:$AB$4,0)+1,0),0)*M86,0)*AG88*0.5,0)),"")</f>
        <v>0</v>
      </c>
      <c r="AL88" s="1361" t="str">
        <f t="shared" ref="AL88" si="57">IF(U88&lt;&gt;"","新規に適用","")</f>
        <v/>
      </c>
      <c r="AM88" s="1373">
        <f>IFERROR(IF(OR(N89="ベア加算",N89=""),0, IF(OR(U86="新加算Ⅰ",U86="新加算Ⅱ",U86="新加算Ⅲ",U86="新加算Ⅳ"),0,ROUNDDOWN(ROUND(L86*VLOOKUP(K86,【参考】数式用!$A$5:$I$27,MATCH("ベア加算",【参考】数式用!$B$4:$I$4,0)+1,0),0)*M86,0)*AG88)),"")</f>
        <v>0</v>
      </c>
      <c r="AN88" s="1345" t="str">
        <f>IF(AND(U88&lt;&gt;"",AN86=""),"新規に適用",IF(AND(U88&lt;&gt;"",AN86&lt;&gt;""),"継続で適用",""))</f>
        <v/>
      </c>
      <c r="AO88" s="1345" t="str">
        <f>IF(AND(U88&lt;&gt;"",AO86=""),"新規に適用",IF(AND(U88&lt;&gt;"",AO86&lt;&gt;""),"継続で適用",""))</f>
        <v/>
      </c>
      <c r="AP88" s="1391"/>
      <c r="AQ88" s="1345" t="str">
        <f>IF(AND(U88&lt;&gt;"",AQ86=""),"新規に適用",IF(AND(U88&lt;&gt;"",AQ86&lt;&gt;""),"継続で適用",""))</f>
        <v/>
      </c>
      <c r="AR88" s="1349" t="str">
        <f t="shared" si="19"/>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316"/>
      <c r="B89" s="1439"/>
      <c r="C89" s="1440"/>
      <c r="D89" s="1440"/>
      <c r="E89" s="1440"/>
      <c r="F89" s="1441"/>
      <c r="G89" s="1269"/>
      <c r="H89" s="1269"/>
      <c r="I89" s="1269"/>
      <c r="J89" s="1444"/>
      <c r="K89" s="1269"/>
      <c r="L89" s="1275"/>
      <c r="M89" s="1278"/>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66"/>
      <c r="AI89" s="1368"/>
      <c r="AJ89" s="1370"/>
      <c r="AK89" s="1372"/>
      <c r="AL89" s="1362"/>
      <c r="AM89" s="1374"/>
      <c r="AN89" s="1346"/>
      <c r="AO89" s="1346"/>
      <c r="AP89" s="1392"/>
      <c r="AQ89" s="1346"/>
      <c r="AR89" s="1350"/>
      <c r="AS89" s="1346"/>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43" t="str">
        <f>IF(基本情報入力シート!X73="","",基本情報入力シート!X73)</f>
        <v/>
      </c>
      <c r="K90" s="1268" t="str">
        <f>IF(基本情報入力シート!Y73="","",基本情報入力シート!Y73)</f>
        <v/>
      </c>
      <c r="L90" s="1274"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2173</v>
      </c>
      <c r="U90" s="1433"/>
      <c r="V90" s="1435" t="str">
        <f>IFERROR(VLOOKUP(K90,【参考】数式用!$A$5:$AB$27,MATCH(U90,【参考】数式用!$B$4:$AB$4,0)+1,0),"")</f>
        <v/>
      </c>
      <c r="W90" s="1437" t="s">
        <v>19</v>
      </c>
      <c r="X90" s="1375">
        <v>6</v>
      </c>
      <c r="Y90" s="1377" t="s">
        <v>10</v>
      </c>
      <c r="Z90" s="1375">
        <v>6</v>
      </c>
      <c r="AA90" s="1377" t="s">
        <v>45</v>
      </c>
      <c r="AB90" s="1375">
        <v>7</v>
      </c>
      <c r="AC90" s="1377" t="s">
        <v>10</v>
      </c>
      <c r="AD90" s="1375">
        <v>3</v>
      </c>
      <c r="AE90" s="1377" t="s">
        <v>13</v>
      </c>
      <c r="AF90" s="1377" t="s">
        <v>24</v>
      </c>
      <c r="AG90" s="1377">
        <f>IF(X90&gt;=1,(AB90*12+AD90)-(X90*12+Z90)+1,"")</f>
        <v>10</v>
      </c>
      <c r="AH90" s="1379" t="s">
        <v>38</v>
      </c>
      <c r="AI90" s="1381" t="str">
        <f>IFERROR(ROUNDDOWN(ROUND(L90*V90,0)*M90,0)*AG90,"")</f>
        <v/>
      </c>
      <c r="AJ90" s="1383" t="str">
        <f>IFERROR(ROUNDDOWN(ROUND((L90*(V90-AX90)),0)*M90,0)*AG90,"")</f>
        <v/>
      </c>
      <c r="AK90" s="1385">
        <f>IFERROR(IF(OR(N90="",N91="",N93=""),0,ROUNDDOWN(ROUNDDOWN(ROUND(L90*VLOOKUP(K90,【参考】数式用!$A$5:$AB$27,MATCH("新加算Ⅳ",【参考】数式用!$B$4:$AB$4,0)+1,0),0)*M90,0)*AG90*0.5,0)),"")</f>
        <v>0</v>
      </c>
      <c r="AL90" s="1363"/>
      <c r="AM90" s="138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1"/>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2098</v>
      </c>
      <c r="BA90" s="1247" t="s">
        <v>2099</v>
      </c>
      <c r="BB90" s="1247" t="s">
        <v>2100</v>
      </c>
      <c r="BC90" s="1247" t="s">
        <v>2101</v>
      </c>
      <c r="BD90" s="1247" t="str">
        <f>IF(AND(P90&lt;&gt;"新加算Ⅰ",P90&lt;&gt;"新加算Ⅱ",P90&lt;&gt;"新加算Ⅲ",P90&lt;&gt;"新加算Ⅳ"),P90,IF(Q92&lt;&gt;"",Q92,""))</f>
        <v/>
      </c>
      <c r="BE90" s="1247"/>
      <c r="BF90" s="1247" t="str">
        <f t="shared" ref="BF90" si="59">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315"/>
      <c r="B91" s="1301"/>
      <c r="C91" s="1302"/>
      <c r="D91" s="1302"/>
      <c r="E91" s="1302"/>
      <c r="F91" s="1303"/>
      <c r="G91" s="1268"/>
      <c r="H91" s="1268"/>
      <c r="I91" s="1268"/>
      <c r="J91" s="1443"/>
      <c r="K91" s="1268"/>
      <c r="L91" s="1274"/>
      <c r="M91" s="1445"/>
      <c r="N91" s="1399" t="str">
        <f>IF('別紙様式2-2（４・５月分）'!Q72="","",'別紙様式2-2（４・５月分）'!Q72)</f>
        <v/>
      </c>
      <c r="O91" s="1420"/>
      <c r="P91" s="1426"/>
      <c r="Q91" s="1427"/>
      <c r="R91" s="1428"/>
      <c r="S91" s="1430"/>
      <c r="T91" s="1432"/>
      <c r="U91" s="1434"/>
      <c r="V91" s="1436"/>
      <c r="W91" s="1438"/>
      <c r="X91" s="1376"/>
      <c r="Y91" s="1378"/>
      <c r="Z91" s="1376"/>
      <c r="AA91" s="1378"/>
      <c r="AB91" s="1376"/>
      <c r="AC91" s="1378"/>
      <c r="AD91" s="1376"/>
      <c r="AE91" s="1378"/>
      <c r="AF91" s="1378"/>
      <c r="AG91" s="1378"/>
      <c r="AH91" s="1380"/>
      <c r="AI91" s="1382"/>
      <c r="AJ91" s="1384"/>
      <c r="AK91" s="1386"/>
      <c r="AL91" s="1364"/>
      <c r="AM91" s="1388"/>
      <c r="AN91" s="1360"/>
      <c r="AO91" s="1390"/>
      <c r="AP91" s="1394"/>
      <c r="AQ91" s="1394"/>
      <c r="AR91" s="1396"/>
      <c r="AS91" s="1348"/>
      <c r="AT91" s="1334" t="str">
        <f t="shared" si="53"/>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1"/>
      <c r="C92" s="1302"/>
      <c r="D92" s="1302"/>
      <c r="E92" s="1302"/>
      <c r="F92" s="1303"/>
      <c r="G92" s="1268"/>
      <c r="H92" s="1268"/>
      <c r="I92" s="1268"/>
      <c r="J92" s="1443"/>
      <c r="K92" s="1268"/>
      <c r="L92" s="1274"/>
      <c r="M92" s="1445"/>
      <c r="N92" s="1400"/>
      <c r="O92" s="1421"/>
      <c r="P92" s="1401" t="s">
        <v>2179</v>
      </c>
      <c r="Q92" s="1403" t="str">
        <f>IFERROR(VLOOKUP('別紙様式2-2（４・５月分）'!AR71,【参考】数式用!$AT$5:$AV$22,3,FALSE),"")</f>
        <v/>
      </c>
      <c r="R92" s="1405" t="s">
        <v>2190</v>
      </c>
      <c r="S92" s="1447" t="str">
        <f>IFERROR(VLOOKUP(K90,【参考】数式用!$A$5:$AB$27,MATCH(Q92,【参考】数式用!$B$4:$AB$4,0)+1,0),"")</f>
        <v/>
      </c>
      <c r="T92" s="1409" t="s">
        <v>217</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5" t="s">
        <v>38</v>
      </c>
      <c r="AI92" s="1367" t="str">
        <f>IFERROR(ROUNDDOWN(ROUND(L90*V92,0)*M90,0)*AG92,"")</f>
        <v/>
      </c>
      <c r="AJ92" s="1369" t="str">
        <f>IFERROR(ROUNDDOWN(ROUND((L90*(V92-AX90)),0)*M90,0)*AG92,"")</f>
        <v/>
      </c>
      <c r="AK92" s="1371">
        <f>IFERROR(IF(OR(N90="",N91="",N93=""),0,ROUNDDOWN(ROUNDDOWN(ROUND(L90*VLOOKUP(K90,【参考】数式用!$A$5:$AB$27,MATCH("新加算Ⅳ",【参考】数式用!$B$4:$AB$4,0)+1,0),0)*M90,0)*AG92*0.5,0)),"")</f>
        <v>0</v>
      </c>
      <c r="AL92" s="1361" t="str">
        <f t="shared" ref="AL92" si="60">IF(U92&lt;&gt;"","新規に適用","")</f>
        <v/>
      </c>
      <c r="AM92" s="1373">
        <f>IFERROR(IF(OR(N93="ベア加算",N93=""),0, IF(OR(U90="新加算Ⅰ",U90="新加算Ⅱ",U90="新加算Ⅲ",U90="新加算Ⅳ"),0,ROUNDDOWN(ROUND(L90*VLOOKUP(K90,【参考】数式用!$A$5:$I$27,MATCH("ベア加算",【参考】数式用!$B$4:$I$4,0)+1,0),0)*M90,0)*AG92)),"")</f>
        <v>0</v>
      </c>
      <c r="AN92" s="1345" t="str">
        <f>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19"/>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316"/>
      <c r="B93" s="1439"/>
      <c r="C93" s="1440"/>
      <c r="D93" s="1440"/>
      <c r="E93" s="1440"/>
      <c r="F93" s="1441"/>
      <c r="G93" s="1269"/>
      <c r="H93" s="1269"/>
      <c r="I93" s="1269"/>
      <c r="J93" s="1444"/>
      <c r="K93" s="1269"/>
      <c r="L93" s="1275"/>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66"/>
      <c r="AI93" s="1368"/>
      <c r="AJ93" s="1370"/>
      <c r="AK93" s="1372"/>
      <c r="AL93" s="1362"/>
      <c r="AM93" s="1374"/>
      <c r="AN93" s="1346"/>
      <c r="AO93" s="1346"/>
      <c r="AP93" s="1392"/>
      <c r="AQ93" s="1346"/>
      <c r="AR93" s="1350"/>
      <c r="AS93" s="1346"/>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314">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4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2173</v>
      </c>
      <c r="U94" s="1433"/>
      <c r="V94" s="1435" t="str">
        <f>IFERROR(VLOOKUP(K94,【参考】数式用!$A$5:$AB$27,MATCH(U94,【参考】数式用!$B$4:$AB$4,0)+1,0),"")</f>
        <v/>
      </c>
      <c r="W94" s="1437" t="s">
        <v>19</v>
      </c>
      <c r="X94" s="1375">
        <v>6</v>
      </c>
      <c r="Y94" s="1377" t="s">
        <v>10</v>
      </c>
      <c r="Z94" s="1375">
        <v>6</v>
      </c>
      <c r="AA94" s="1377" t="s">
        <v>45</v>
      </c>
      <c r="AB94" s="1375">
        <v>7</v>
      </c>
      <c r="AC94" s="1377" t="s">
        <v>10</v>
      </c>
      <c r="AD94" s="1375">
        <v>3</v>
      </c>
      <c r="AE94" s="1377" t="s">
        <v>13</v>
      </c>
      <c r="AF94" s="1377" t="s">
        <v>24</v>
      </c>
      <c r="AG94" s="1377">
        <f>IF(X94&gt;=1,(AB94*12+AD94)-(X94*12+Z94)+1,"")</f>
        <v>10</v>
      </c>
      <c r="AH94" s="1379" t="s">
        <v>38</v>
      </c>
      <c r="AI94" s="1381" t="str">
        <f>IFERROR(ROUNDDOWN(ROUND(L94*V94,0)*M94,0)*AG94,"")</f>
        <v/>
      </c>
      <c r="AJ94" s="1383" t="str">
        <f>IFERROR(ROUNDDOWN(ROUND((L94*(V94-AX94)),0)*M94,0)*AG94,"")</f>
        <v/>
      </c>
      <c r="AK94" s="1385">
        <f>IFERROR(IF(OR(N94="",N95="",N97=""),0,ROUNDDOWN(ROUNDDOWN(ROUND(L94*VLOOKUP(K94,【参考】数式用!$A$5:$AB$27,MATCH("新加算Ⅳ",【参考】数式用!$B$4:$AB$4,0)+1,0),0)*M94,0)*AG94*0.5,0)),"")</f>
        <v>0</v>
      </c>
      <c r="AL94" s="1363"/>
      <c r="AM94" s="138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1"/>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2098</v>
      </c>
      <c r="BA94" s="1247" t="s">
        <v>2099</v>
      </c>
      <c r="BB94" s="1247" t="s">
        <v>2100</v>
      </c>
      <c r="BC94" s="1247" t="s">
        <v>2101</v>
      </c>
      <c r="BD94" s="1247" t="str">
        <f>IF(AND(P94&lt;&gt;"新加算Ⅰ",P94&lt;&gt;"新加算Ⅱ",P94&lt;&gt;"新加算Ⅲ",P94&lt;&gt;"新加算Ⅳ"),P94,IF(Q96&lt;&gt;"",Q96,""))</f>
        <v/>
      </c>
      <c r="BE94" s="1247"/>
      <c r="BF94" s="1247" t="str">
        <f t="shared" ref="BF94" si="62">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315"/>
      <c r="B95" s="1301"/>
      <c r="C95" s="1302"/>
      <c r="D95" s="1302"/>
      <c r="E95" s="1302"/>
      <c r="F95" s="1303"/>
      <c r="G95" s="1268"/>
      <c r="H95" s="1268"/>
      <c r="I95" s="1268"/>
      <c r="J95" s="1443"/>
      <c r="K95" s="1268"/>
      <c r="L95" s="1274"/>
      <c r="M95" s="1277"/>
      <c r="N95" s="1399" t="str">
        <f>IF('別紙様式2-2（４・５月分）'!Q75="","",'別紙様式2-2（４・５月分）'!Q75)</f>
        <v/>
      </c>
      <c r="O95" s="1420"/>
      <c r="P95" s="1426"/>
      <c r="Q95" s="1427"/>
      <c r="R95" s="1428"/>
      <c r="S95" s="1430"/>
      <c r="T95" s="1432"/>
      <c r="U95" s="1434"/>
      <c r="V95" s="1436"/>
      <c r="W95" s="1438"/>
      <c r="X95" s="1376"/>
      <c r="Y95" s="1378"/>
      <c r="Z95" s="1376"/>
      <c r="AA95" s="1378"/>
      <c r="AB95" s="1376"/>
      <c r="AC95" s="1378"/>
      <c r="AD95" s="1376"/>
      <c r="AE95" s="1378"/>
      <c r="AF95" s="1378"/>
      <c r="AG95" s="1378"/>
      <c r="AH95" s="1380"/>
      <c r="AI95" s="1382"/>
      <c r="AJ95" s="1384"/>
      <c r="AK95" s="1386"/>
      <c r="AL95" s="1364"/>
      <c r="AM95" s="1388"/>
      <c r="AN95" s="1360"/>
      <c r="AO95" s="1390"/>
      <c r="AP95" s="1394"/>
      <c r="AQ95" s="1394"/>
      <c r="AR95" s="1396"/>
      <c r="AS95" s="1348"/>
      <c r="AT95" s="1334" t="str">
        <f t="shared" si="53"/>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1"/>
      <c r="C96" s="1302"/>
      <c r="D96" s="1302"/>
      <c r="E96" s="1302"/>
      <c r="F96" s="1303"/>
      <c r="G96" s="1268"/>
      <c r="H96" s="1268"/>
      <c r="I96" s="1268"/>
      <c r="J96" s="1443"/>
      <c r="K96" s="1268"/>
      <c r="L96" s="1274"/>
      <c r="M96" s="1277"/>
      <c r="N96" s="1400"/>
      <c r="O96" s="1421"/>
      <c r="P96" s="1401" t="s">
        <v>2179</v>
      </c>
      <c r="Q96" s="1403" t="str">
        <f>IFERROR(VLOOKUP('別紙様式2-2（４・５月分）'!AR74,【参考】数式用!$AT$5:$AV$22,3,FALSE),"")</f>
        <v/>
      </c>
      <c r="R96" s="1405" t="s">
        <v>2190</v>
      </c>
      <c r="S96" s="1407" t="str">
        <f>IFERROR(VLOOKUP(K94,【参考】数式用!$A$5:$AB$27,MATCH(Q96,【参考】数式用!$B$4:$AB$4,0)+1,0),"")</f>
        <v/>
      </c>
      <c r="T96" s="1409" t="s">
        <v>217</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5" t="s">
        <v>38</v>
      </c>
      <c r="AI96" s="1367" t="str">
        <f>IFERROR(ROUNDDOWN(ROUND(L94*V96,0)*M94,0)*AG96,"")</f>
        <v/>
      </c>
      <c r="AJ96" s="1369" t="str">
        <f>IFERROR(ROUNDDOWN(ROUND((L94*(V96-AX94)),0)*M94,0)*AG96,"")</f>
        <v/>
      </c>
      <c r="AK96" s="1371">
        <f>IFERROR(IF(OR(N94="",N95="",N97=""),0,ROUNDDOWN(ROUNDDOWN(ROUND(L94*VLOOKUP(K94,【参考】数式用!$A$5:$AB$27,MATCH("新加算Ⅳ",【参考】数式用!$B$4:$AB$4,0)+1,0),0)*M94,0)*AG96*0.5,0)),"")</f>
        <v>0</v>
      </c>
      <c r="AL96" s="1361" t="str">
        <f t="shared" ref="AL96" si="63">IF(U96&lt;&gt;"","新規に適用","")</f>
        <v/>
      </c>
      <c r="AM96" s="1373">
        <f>IFERROR(IF(OR(N97="ベア加算",N97=""),0, IF(OR(U94="新加算Ⅰ",U94="新加算Ⅱ",U94="新加算Ⅲ",U94="新加算Ⅳ"),0,ROUNDDOWN(ROUND(L94*VLOOKUP(K94,【参考】数式用!$A$5:$I$27,MATCH("ベア加算",【参考】数式用!$B$4:$I$4,0)+1,0),0)*M94,0)*AG96)),"")</f>
        <v>0</v>
      </c>
      <c r="AN96" s="1345" t="str">
        <f>IF(AND(U96&lt;&gt;"",AN94=""),"新規に適用",IF(AND(U96&lt;&gt;"",AN94&lt;&gt;""),"継続で適用",""))</f>
        <v/>
      </c>
      <c r="AO96" s="1345" t="str">
        <f>IF(AND(U96&lt;&gt;"",AO94=""),"新規に適用",IF(AND(U96&lt;&gt;"",AO94&lt;&gt;""),"継続で適用",""))</f>
        <v/>
      </c>
      <c r="AP96" s="1391"/>
      <c r="AQ96" s="1345" t="str">
        <f>IF(AND(U96&lt;&gt;"",AQ94=""),"新規に適用",IF(AND(U96&lt;&gt;"",AQ94&lt;&gt;""),"継続で適用",""))</f>
        <v/>
      </c>
      <c r="AR96" s="1349" t="str">
        <f t="shared" si="19"/>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316"/>
      <c r="B97" s="1439"/>
      <c r="C97" s="1440"/>
      <c r="D97" s="1440"/>
      <c r="E97" s="1440"/>
      <c r="F97" s="1441"/>
      <c r="G97" s="1269"/>
      <c r="H97" s="1269"/>
      <c r="I97" s="1269"/>
      <c r="J97" s="1444"/>
      <c r="K97" s="1269"/>
      <c r="L97" s="1275"/>
      <c r="M97" s="1278"/>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66"/>
      <c r="AI97" s="1368"/>
      <c r="AJ97" s="1370"/>
      <c r="AK97" s="1372"/>
      <c r="AL97" s="1362"/>
      <c r="AM97" s="1374"/>
      <c r="AN97" s="1346"/>
      <c r="AO97" s="1346"/>
      <c r="AP97" s="1392"/>
      <c r="AQ97" s="1346"/>
      <c r="AR97" s="1350"/>
      <c r="AS97" s="1346"/>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43" t="str">
        <f>IF(基本情報入力シート!X75="","",基本情報入力シート!X75)</f>
        <v/>
      </c>
      <c r="K98" s="1268" t="str">
        <f>IF(基本情報入力シート!Y75="","",基本情報入力シート!Y75)</f>
        <v/>
      </c>
      <c r="L98" s="1274"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2173</v>
      </c>
      <c r="U98" s="1433"/>
      <c r="V98" s="1435" t="str">
        <f>IFERROR(VLOOKUP(K98,【参考】数式用!$A$5:$AB$27,MATCH(U98,【参考】数式用!$B$4:$AB$4,0)+1,0),"")</f>
        <v/>
      </c>
      <c r="W98" s="1437" t="s">
        <v>19</v>
      </c>
      <c r="X98" s="1375">
        <v>6</v>
      </c>
      <c r="Y98" s="1377" t="s">
        <v>10</v>
      </c>
      <c r="Z98" s="1375">
        <v>6</v>
      </c>
      <c r="AA98" s="1377" t="s">
        <v>45</v>
      </c>
      <c r="AB98" s="1375">
        <v>7</v>
      </c>
      <c r="AC98" s="1377" t="s">
        <v>10</v>
      </c>
      <c r="AD98" s="1375">
        <v>3</v>
      </c>
      <c r="AE98" s="1377" t="s">
        <v>13</v>
      </c>
      <c r="AF98" s="1377" t="s">
        <v>24</v>
      </c>
      <c r="AG98" s="1377">
        <f>IF(X98&gt;=1,(AB98*12+AD98)-(X98*12+Z98)+1,"")</f>
        <v>10</v>
      </c>
      <c r="AH98" s="1379" t="s">
        <v>38</v>
      </c>
      <c r="AI98" s="1381" t="str">
        <f>IFERROR(ROUNDDOWN(ROUND(L98*V98,0)*M98,0)*AG98,"")</f>
        <v/>
      </c>
      <c r="AJ98" s="1383" t="str">
        <f>IFERROR(ROUNDDOWN(ROUND((L98*(V98-AX98)),0)*M98,0)*AG98,"")</f>
        <v/>
      </c>
      <c r="AK98" s="1385">
        <f>IFERROR(IF(OR(N98="",N99="",N101=""),0,ROUNDDOWN(ROUNDDOWN(ROUND(L98*VLOOKUP(K98,【参考】数式用!$A$5:$AB$27,MATCH("新加算Ⅳ",【参考】数式用!$B$4:$AB$4,0)+1,0),0)*M98,0)*AG98*0.5,0)),"")</f>
        <v>0</v>
      </c>
      <c r="AL98" s="1363"/>
      <c r="AM98" s="138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1"/>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2098</v>
      </c>
      <c r="BA98" s="1247" t="s">
        <v>2099</v>
      </c>
      <c r="BB98" s="1247" t="s">
        <v>2100</v>
      </c>
      <c r="BC98" s="1247" t="s">
        <v>2101</v>
      </c>
      <c r="BD98" s="1247" t="str">
        <f>IF(AND(P98&lt;&gt;"新加算Ⅰ",P98&lt;&gt;"新加算Ⅱ",P98&lt;&gt;"新加算Ⅲ",P98&lt;&gt;"新加算Ⅳ"),P98,IF(Q100&lt;&gt;"",Q100,""))</f>
        <v/>
      </c>
      <c r="BE98" s="1247"/>
      <c r="BF98" s="1247" t="str">
        <f t="shared" ref="BF98" si="65">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315"/>
      <c r="B99" s="1301"/>
      <c r="C99" s="1302"/>
      <c r="D99" s="1302"/>
      <c r="E99" s="1302"/>
      <c r="F99" s="1303"/>
      <c r="G99" s="1268"/>
      <c r="H99" s="1268"/>
      <c r="I99" s="1268"/>
      <c r="J99" s="1443"/>
      <c r="K99" s="1268"/>
      <c r="L99" s="1274"/>
      <c r="M99" s="1445"/>
      <c r="N99" s="1399" t="str">
        <f>IF('別紙様式2-2（４・５月分）'!Q78="","",'別紙様式2-2（４・５月分）'!Q78)</f>
        <v/>
      </c>
      <c r="O99" s="1420"/>
      <c r="P99" s="1426"/>
      <c r="Q99" s="1427"/>
      <c r="R99" s="1428"/>
      <c r="S99" s="1430"/>
      <c r="T99" s="1432"/>
      <c r="U99" s="1434"/>
      <c r="V99" s="1436"/>
      <c r="W99" s="1438"/>
      <c r="X99" s="1376"/>
      <c r="Y99" s="1378"/>
      <c r="Z99" s="1376"/>
      <c r="AA99" s="1378"/>
      <c r="AB99" s="1376"/>
      <c r="AC99" s="1378"/>
      <c r="AD99" s="1376"/>
      <c r="AE99" s="1378"/>
      <c r="AF99" s="1378"/>
      <c r="AG99" s="1378"/>
      <c r="AH99" s="1380"/>
      <c r="AI99" s="1382"/>
      <c r="AJ99" s="1384"/>
      <c r="AK99" s="1386"/>
      <c r="AL99" s="1364"/>
      <c r="AM99" s="1388"/>
      <c r="AN99" s="1360"/>
      <c r="AO99" s="1390"/>
      <c r="AP99" s="1394"/>
      <c r="AQ99" s="1394"/>
      <c r="AR99" s="1396"/>
      <c r="AS99" s="1348"/>
      <c r="AT99" s="1334" t="str">
        <f t="shared" si="53"/>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1"/>
      <c r="C100" s="1302"/>
      <c r="D100" s="1302"/>
      <c r="E100" s="1302"/>
      <c r="F100" s="1303"/>
      <c r="G100" s="1268"/>
      <c r="H100" s="1268"/>
      <c r="I100" s="1268"/>
      <c r="J100" s="1443"/>
      <c r="K100" s="1268"/>
      <c r="L100" s="1274"/>
      <c r="M100" s="1445"/>
      <c r="N100" s="1400"/>
      <c r="O100" s="1421"/>
      <c r="P100" s="1401" t="s">
        <v>2179</v>
      </c>
      <c r="Q100" s="1403" t="str">
        <f>IFERROR(VLOOKUP('別紙様式2-2（４・５月分）'!AR77,【参考】数式用!$AT$5:$AV$22,3,FALSE),"")</f>
        <v/>
      </c>
      <c r="R100" s="1405" t="s">
        <v>2190</v>
      </c>
      <c r="S100" s="1447" t="str">
        <f>IFERROR(VLOOKUP(K98,【参考】数式用!$A$5:$AB$27,MATCH(Q100,【参考】数式用!$B$4:$AB$4,0)+1,0),"")</f>
        <v/>
      </c>
      <c r="T100" s="1409" t="s">
        <v>217</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5" t="s">
        <v>38</v>
      </c>
      <c r="AI100" s="1367" t="str">
        <f>IFERROR(ROUNDDOWN(ROUND(L98*V100,0)*M98,0)*AG100,"")</f>
        <v/>
      </c>
      <c r="AJ100" s="1369" t="str">
        <f>IFERROR(ROUNDDOWN(ROUND((L98*(V100-AX98)),0)*M98,0)*AG100,"")</f>
        <v/>
      </c>
      <c r="AK100" s="1371">
        <f>IFERROR(IF(OR(N98="",N99="",N101=""),0,ROUNDDOWN(ROUNDDOWN(ROUND(L98*VLOOKUP(K98,【参考】数式用!$A$5:$AB$27,MATCH("新加算Ⅳ",【参考】数式用!$B$4:$AB$4,0)+1,0),0)*M98,0)*AG100*0.5,0)),"")</f>
        <v>0</v>
      </c>
      <c r="AL100" s="1361" t="str">
        <f t="shared" ref="AL100" si="66">IF(U100&lt;&gt;"","新規に適用","")</f>
        <v/>
      </c>
      <c r="AM100" s="1373">
        <f>IFERROR(IF(OR(N101="ベア加算",N101=""),0, IF(OR(U98="新加算Ⅰ",U98="新加算Ⅱ",U98="新加算Ⅲ",U98="新加算Ⅳ"),0,ROUNDDOWN(ROUND(L98*VLOOKUP(K98,【参考】数式用!$A$5:$I$27,MATCH("ベア加算",【参考】数式用!$B$4:$I$4,0)+1,0),0)*M98,0)*AG100)),"")</f>
        <v>0</v>
      </c>
      <c r="AN100" s="1345" t="str">
        <f>IF(AND(U100&lt;&gt;"",AN98=""),"新規に適用",IF(AND(U100&lt;&gt;"",AN98&lt;&gt;""),"継続で適用",""))</f>
        <v/>
      </c>
      <c r="AO100" s="1345" t="str">
        <f>IF(AND(U100&lt;&gt;"",AO98=""),"新規に適用",IF(AND(U100&lt;&gt;"",AO98&lt;&gt;""),"継続で適用",""))</f>
        <v/>
      </c>
      <c r="AP100" s="1391"/>
      <c r="AQ100" s="1345" t="str">
        <f>IF(AND(U100&lt;&gt;"",AQ98=""),"新規に適用",IF(AND(U100&lt;&gt;"",AQ98&lt;&gt;""),"継続で適用",""))</f>
        <v/>
      </c>
      <c r="AR100" s="1349" t="str">
        <f t="shared" si="19"/>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316"/>
      <c r="B101" s="1439"/>
      <c r="C101" s="1440"/>
      <c r="D101" s="1440"/>
      <c r="E101" s="1440"/>
      <c r="F101" s="1441"/>
      <c r="G101" s="1269"/>
      <c r="H101" s="1269"/>
      <c r="I101" s="1269"/>
      <c r="J101" s="1444"/>
      <c r="K101" s="1269"/>
      <c r="L101" s="1275"/>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66"/>
      <c r="AI101" s="1368"/>
      <c r="AJ101" s="1370"/>
      <c r="AK101" s="1372"/>
      <c r="AL101" s="1362"/>
      <c r="AM101" s="1374"/>
      <c r="AN101" s="1346"/>
      <c r="AO101" s="1346"/>
      <c r="AP101" s="1392"/>
      <c r="AQ101" s="1346"/>
      <c r="AR101" s="1350"/>
      <c r="AS101" s="1346"/>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314">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43" t="str">
        <f>IF(基本情報入力シート!X76="","",基本情報入力シート!X76)</f>
        <v/>
      </c>
      <c r="K102" s="1268" t="str">
        <f>IF(基本情報入力シート!Y76="","",基本情報入力シート!Y76)</f>
        <v/>
      </c>
      <c r="L102" s="1274"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2173</v>
      </c>
      <c r="U102" s="1433"/>
      <c r="V102" s="1435" t="str">
        <f>IFERROR(VLOOKUP(K102,【参考】数式用!$A$5:$AB$27,MATCH(U102,【参考】数式用!$B$4:$AB$4,0)+1,0),"")</f>
        <v/>
      </c>
      <c r="W102" s="1437" t="s">
        <v>19</v>
      </c>
      <c r="X102" s="1375">
        <v>6</v>
      </c>
      <c r="Y102" s="1377" t="s">
        <v>10</v>
      </c>
      <c r="Z102" s="1375">
        <v>6</v>
      </c>
      <c r="AA102" s="1377" t="s">
        <v>45</v>
      </c>
      <c r="AB102" s="1375">
        <v>7</v>
      </c>
      <c r="AC102" s="1377" t="s">
        <v>10</v>
      </c>
      <c r="AD102" s="1375">
        <v>3</v>
      </c>
      <c r="AE102" s="1377" t="s">
        <v>13</v>
      </c>
      <c r="AF102" s="1377" t="s">
        <v>24</v>
      </c>
      <c r="AG102" s="1377">
        <f>IF(X102&gt;=1,(AB102*12+AD102)-(X102*12+Z102)+1,"")</f>
        <v>10</v>
      </c>
      <c r="AH102" s="1379" t="s">
        <v>38</v>
      </c>
      <c r="AI102" s="1381" t="str">
        <f>IFERROR(ROUNDDOWN(ROUND(L102*V102,0)*M102,0)*AG102,"")</f>
        <v/>
      </c>
      <c r="AJ102" s="1383" t="str">
        <f>IFERROR(ROUNDDOWN(ROUND((L102*(V102-AX102)),0)*M102,0)*AG102,"")</f>
        <v/>
      </c>
      <c r="AK102" s="1385">
        <f>IFERROR(IF(OR(N102="",N103="",N105=""),0,ROUNDDOWN(ROUNDDOWN(ROUND(L102*VLOOKUP(K102,【参考】数式用!$A$5:$AB$27,MATCH("新加算Ⅳ",【参考】数式用!$B$4:$AB$4,0)+1,0),0)*M102,0)*AG102*0.5,0)),"")</f>
        <v>0</v>
      </c>
      <c r="AL102" s="1363"/>
      <c r="AM102" s="138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1"/>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2098</v>
      </c>
      <c r="BA102" s="1247" t="s">
        <v>2099</v>
      </c>
      <c r="BB102" s="1247" t="s">
        <v>2100</v>
      </c>
      <c r="BC102" s="1247" t="s">
        <v>2101</v>
      </c>
      <c r="BD102" s="1247" t="str">
        <f>IF(AND(P102&lt;&gt;"新加算Ⅰ",P102&lt;&gt;"新加算Ⅱ",P102&lt;&gt;"新加算Ⅲ",P102&lt;&gt;"新加算Ⅳ"),P102,IF(Q104&lt;&gt;"",Q104,""))</f>
        <v/>
      </c>
      <c r="BE102" s="1247"/>
      <c r="BF102" s="1247" t="str">
        <f t="shared" ref="BF102" si="68">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315"/>
      <c r="B103" s="1301"/>
      <c r="C103" s="1302"/>
      <c r="D103" s="1302"/>
      <c r="E103" s="1302"/>
      <c r="F103" s="1303"/>
      <c r="G103" s="1268"/>
      <c r="H103" s="1268"/>
      <c r="I103" s="1268"/>
      <c r="J103" s="1443"/>
      <c r="K103" s="1268"/>
      <c r="L103" s="1274"/>
      <c r="M103" s="1445"/>
      <c r="N103" s="1399" t="str">
        <f>IF('別紙様式2-2（４・５月分）'!Q81="","",'別紙様式2-2（４・５月分）'!Q81)</f>
        <v/>
      </c>
      <c r="O103" s="1420"/>
      <c r="P103" s="1426"/>
      <c r="Q103" s="1427"/>
      <c r="R103" s="1428"/>
      <c r="S103" s="1430"/>
      <c r="T103" s="1432"/>
      <c r="U103" s="1434"/>
      <c r="V103" s="1436"/>
      <c r="W103" s="1438"/>
      <c r="X103" s="1376"/>
      <c r="Y103" s="1378"/>
      <c r="Z103" s="1376"/>
      <c r="AA103" s="1378"/>
      <c r="AB103" s="1376"/>
      <c r="AC103" s="1378"/>
      <c r="AD103" s="1376"/>
      <c r="AE103" s="1378"/>
      <c r="AF103" s="1378"/>
      <c r="AG103" s="1378"/>
      <c r="AH103" s="1380"/>
      <c r="AI103" s="1382"/>
      <c r="AJ103" s="1384"/>
      <c r="AK103" s="1386"/>
      <c r="AL103" s="1364"/>
      <c r="AM103" s="1388"/>
      <c r="AN103" s="1360"/>
      <c r="AO103" s="1390"/>
      <c r="AP103" s="1394"/>
      <c r="AQ103" s="1394"/>
      <c r="AR103" s="1396"/>
      <c r="AS103" s="1348"/>
      <c r="AT103" s="1334" t="str">
        <f t="shared" si="53"/>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1"/>
      <c r="C104" s="1302"/>
      <c r="D104" s="1302"/>
      <c r="E104" s="1302"/>
      <c r="F104" s="1303"/>
      <c r="G104" s="1268"/>
      <c r="H104" s="1268"/>
      <c r="I104" s="1268"/>
      <c r="J104" s="1443"/>
      <c r="K104" s="1268"/>
      <c r="L104" s="1274"/>
      <c r="M104" s="1445"/>
      <c r="N104" s="1400"/>
      <c r="O104" s="1421"/>
      <c r="P104" s="1401" t="s">
        <v>2179</v>
      </c>
      <c r="Q104" s="1403" t="str">
        <f>IFERROR(VLOOKUP('別紙様式2-2（４・５月分）'!AR80,【参考】数式用!$AT$5:$AV$22,3,FALSE),"")</f>
        <v/>
      </c>
      <c r="R104" s="1405" t="s">
        <v>2190</v>
      </c>
      <c r="S104" s="1447" t="str">
        <f>IFERROR(VLOOKUP(K102,【参考】数式用!$A$5:$AB$27,MATCH(Q104,【参考】数式用!$B$4:$AB$4,0)+1,0),"")</f>
        <v/>
      </c>
      <c r="T104" s="1409" t="s">
        <v>217</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5" t="s">
        <v>38</v>
      </c>
      <c r="AI104" s="1367" t="str">
        <f>IFERROR(ROUNDDOWN(ROUND(L102*V104,0)*M102,0)*AG104,"")</f>
        <v/>
      </c>
      <c r="AJ104" s="1369" t="str">
        <f>IFERROR(ROUNDDOWN(ROUND((L102*(V104-AX102)),0)*M102,0)*AG104,"")</f>
        <v/>
      </c>
      <c r="AK104" s="1371">
        <f>IFERROR(IF(OR(N102="",N103="",N105=""),0,ROUNDDOWN(ROUNDDOWN(ROUND(L102*VLOOKUP(K102,【参考】数式用!$A$5:$AB$27,MATCH("新加算Ⅳ",【参考】数式用!$B$4:$AB$4,0)+1,0),0)*M102,0)*AG104*0.5,0)),"")</f>
        <v>0</v>
      </c>
      <c r="AL104" s="1361" t="str">
        <f t="shared" ref="AL104" si="69">IF(U104&lt;&gt;"","新規に適用","")</f>
        <v/>
      </c>
      <c r="AM104" s="1373">
        <f>IFERROR(IF(OR(N105="ベア加算",N105=""),0, IF(OR(U102="新加算Ⅰ",U102="新加算Ⅱ",U102="新加算Ⅲ",U102="新加算Ⅳ"),0,ROUNDDOWN(ROUND(L102*VLOOKUP(K102,【参考】数式用!$A$5:$I$27,MATCH("ベア加算",【参考】数式用!$B$4:$I$4,0)+1,0),0)*M102,0)*AG104)),"")</f>
        <v>0</v>
      </c>
      <c r="AN104" s="1345" t="str">
        <f>IF(AND(U104&lt;&gt;"",AN102=""),"新規に適用",IF(AND(U104&lt;&gt;"",AN102&lt;&gt;""),"継続で適用",""))</f>
        <v/>
      </c>
      <c r="AO104" s="1345" t="str">
        <f>IF(AND(U104&lt;&gt;"",AO102=""),"新規に適用",IF(AND(U104&lt;&gt;"",AO102&lt;&gt;""),"継続で適用",""))</f>
        <v/>
      </c>
      <c r="AP104" s="1391"/>
      <c r="AQ104" s="1345" t="str">
        <f>IF(AND(U104&lt;&gt;"",AQ102=""),"新規に適用",IF(AND(U104&lt;&gt;"",AQ102&lt;&gt;""),"継続で適用",""))</f>
        <v/>
      </c>
      <c r="AR104" s="1349"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316"/>
      <c r="B105" s="1439"/>
      <c r="C105" s="1440"/>
      <c r="D105" s="1440"/>
      <c r="E105" s="1440"/>
      <c r="F105" s="1441"/>
      <c r="G105" s="1269"/>
      <c r="H105" s="1269"/>
      <c r="I105" s="1269"/>
      <c r="J105" s="1444"/>
      <c r="K105" s="1269"/>
      <c r="L105" s="1275"/>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66"/>
      <c r="AI105" s="1368"/>
      <c r="AJ105" s="1370"/>
      <c r="AK105" s="1372"/>
      <c r="AL105" s="1362"/>
      <c r="AM105" s="1374"/>
      <c r="AN105" s="1346"/>
      <c r="AO105" s="1346"/>
      <c r="AP105" s="1392"/>
      <c r="AQ105" s="1346"/>
      <c r="AR105" s="1350"/>
      <c r="AS105" s="1346"/>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4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2173</v>
      </c>
      <c r="U106" s="1433"/>
      <c r="V106" s="1435" t="str">
        <f>IFERROR(VLOOKUP(K106,【参考】数式用!$A$5:$AB$27,MATCH(U106,【参考】数式用!$B$4:$AB$4,0)+1,0),"")</f>
        <v/>
      </c>
      <c r="W106" s="1437" t="s">
        <v>19</v>
      </c>
      <c r="X106" s="1375">
        <v>6</v>
      </c>
      <c r="Y106" s="1377" t="s">
        <v>10</v>
      </c>
      <c r="Z106" s="1375">
        <v>6</v>
      </c>
      <c r="AA106" s="1377" t="s">
        <v>45</v>
      </c>
      <c r="AB106" s="1375">
        <v>7</v>
      </c>
      <c r="AC106" s="1377" t="s">
        <v>10</v>
      </c>
      <c r="AD106" s="1375">
        <v>3</v>
      </c>
      <c r="AE106" s="1377" t="s">
        <v>13</v>
      </c>
      <c r="AF106" s="1377" t="s">
        <v>24</v>
      </c>
      <c r="AG106" s="1377">
        <f>IF(X106&gt;=1,(AB106*12+AD106)-(X106*12+Z106)+1,"")</f>
        <v>10</v>
      </c>
      <c r="AH106" s="1379" t="s">
        <v>38</v>
      </c>
      <c r="AI106" s="1381" t="str">
        <f>IFERROR(ROUNDDOWN(ROUND(L106*V106,0)*M106,0)*AG106,"")</f>
        <v/>
      </c>
      <c r="AJ106" s="1383" t="str">
        <f>IFERROR(ROUNDDOWN(ROUND((L106*(V106-AX106)),0)*M106,0)*AG106,"")</f>
        <v/>
      </c>
      <c r="AK106" s="1385">
        <f>IFERROR(IF(OR(N106="",N107="",N109=""),0,ROUNDDOWN(ROUNDDOWN(ROUND(L106*VLOOKUP(K106,【参考】数式用!$A$5:$AB$27,MATCH("新加算Ⅳ",【参考】数式用!$B$4:$AB$4,0)+1,0),0)*M106,0)*AG106*0.5,0)),"")</f>
        <v>0</v>
      </c>
      <c r="AL106" s="1363"/>
      <c r="AM106" s="138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1"/>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2098</v>
      </c>
      <c r="BA106" s="1247" t="s">
        <v>2099</v>
      </c>
      <c r="BB106" s="1247" t="s">
        <v>2100</v>
      </c>
      <c r="BC106" s="1247" t="s">
        <v>2101</v>
      </c>
      <c r="BD106" s="1247" t="str">
        <f>IF(AND(P106&lt;&gt;"新加算Ⅰ",P106&lt;&gt;"新加算Ⅱ",P106&lt;&gt;"新加算Ⅲ",P106&lt;&gt;"新加算Ⅳ"),P106,IF(Q108&lt;&gt;"",Q108,""))</f>
        <v/>
      </c>
      <c r="BE106" s="1247"/>
      <c r="BF106" s="1247" t="str">
        <f t="shared" ref="BF106" si="72">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315"/>
      <c r="B107" s="1301"/>
      <c r="C107" s="1302"/>
      <c r="D107" s="1302"/>
      <c r="E107" s="1302"/>
      <c r="F107" s="1303"/>
      <c r="G107" s="1268"/>
      <c r="H107" s="1268"/>
      <c r="I107" s="1268"/>
      <c r="J107" s="1443"/>
      <c r="K107" s="1268"/>
      <c r="L107" s="1274"/>
      <c r="M107" s="1277"/>
      <c r="N107" s="1399" t="str">
        <f>IF('別紙様式2-2（４・５月分）'!Q84="","",'別紙様式2-2（４・５月分）'!Q84)</f>
        <v/>
      </c>
      <c r="O107" s="1420"/>
      <c r="P107" s="1426"/>
      <c r="Q107" s="1427"/>
      <c r="R107" s="1428"/>
      <c r="S107" s="1430"/>
      <c r="T107" s="1432"/>
      <c r="U107" s="1434"/>
      <c r="V107" s="1436"/>
      <c r="W107" s="1438"/>
      <c r="X107" s="1376"/>
      <c r="Y107" s="1378"/>
      <c r="Z107" s="1376"/>
      <c r="AA107" s="1378"/>
      <c r="AB107" s="1376"/>
      <c r="AC107" s="1378"/>
      <c r="AD107" s="1376"/>
      <c r="AE107" s="1378"/>
      <c r="AF107" s="1378"/>
      <c r="AG107" s="1378"/>
      <c r="AH107" s="1380"/>
      <c r="AI107" s="1382"/>
      <c r="AJ107" s="1384"/>
      <c r="AK107" s="1386"/>
      <c r="AL107" s="1364"/>
      <c r="AM107" s="1388"/>
      <c r="AN107" s="1360"/>
      <c r="AO107" s="1390"/>
      <c r="AP107" s="1394"/>
      <c r="AQ107" s="1394"/>
      <c r="AR107" s="1396"/>
      <c r="AS107" s="1348"/>
      <c r="AT107" s="1334" t="str">
        <f t="shared" si="53"/>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1"/>
      <c r="C108" s="1302"/>
      <c r="D108" s="1302"/>
      <c r="E108" s="1302"/>
      <c r="F108" s="1303"/>
      <c r="G108" s="1268"/>
      <c r="H108" s="1268"/>
      <c r="I108" s="1268"/>
      <c r="J108" s="1443"/>
      <c r="K108" s="1268"/>
      <c r="L108" s="1274"/>
      <c r="M108" s="1277"/>
      <c r="N108" s="1400"/>
      <c r="O108" s="1421"/>
      <c r="P108" s="1401" t="s">
        <v>2179</v>
      </c>
      <c r="Q108" s="1403" t="str">
        <f>IFERROR(VLOOKUP('別紙様式2-2（４・５月分）'!AR83,【参考】数式用!$AT$5:$AV$22,3,FALSE),"")</f>
        <v/>
      </c>
      <c r="R108" s="1405" t="s">
        <v>2190</v>
      </c>
      <c r="S108" s="1407" t="str">
        <f>IFERROR(VLOOKUP(K106,【参考】数式用!$A$5:$AB$27,MATCH(Q108,【参考】数式用!$B$4:$AB$4,0)+1,0),"")</f>
        <v/>
      </c>
      <c r="T108" s="1409" t="s">
        <v>217</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5" t="s">
        <v>38</v>
      </c>
      <c r="AI108" s="1367" t="str">
        <f>IFERROR(ROUNDDOWN(ROUND(L106*V108,0)*M106,0)*AG108,"")</f>
        <v/>
      </c>
      <c r="AJ108" s="1369" t="str">
        <f>IFERROR(ROUNDDOWN(ROUND((L106*(V108-AX106)),0)*M106,0)*AG108,"")</f>
        <v/>
      </c>
      <c r="AK108" s="1371">
        <f>IFERROR(IF(OR(N106="",N107="",N109=""),0,ROUNDDOWN(ROUNDDOWN(ROUND(L106*VLOOKUP(K106,【参考】数式用!$A$5:$AB$27,MATCH("新加算Ⅳ",【参考】数式用!$B$4:$AB$4,0)+1,0),0)*M106,0)*AG108*0.5,0)),"")</f>
        <v>0</v>
      </c>
      <c r="AL108" s="1361" t="str">
        <f t="shared" ref="AL108" si="73">IF(U108&lt;&gt;"","新規に適用","")</f>
        <v/>
      </c>
      <c r="AM108" s="1373">
        <f>IFERROR(IF(OR(N109="ベア加算",N109=""),0, IF(OR(U106="新加算Ⅰ",U106="新加算Ⅱ",U106="新加算Ⅲ",U106="新加算Ⅳ"),0,ROUNDDOWN(ROUND(L106*VLOOKUP(K106,【参考】数式用!$A$5:$I$27,MATCH("ベア加算",【参考】数式用!$B$4:$I$4,0)+1,0),0)*M106,0)*AG108)),"")</f>
        <v>0</v>
      </c>
      <c r="AN108" s="1345" t="str">
        <f>IF(AND(U108&lt;&gt;"",AN106=""),"新規に適用",IF(AND(U108&lt;&gt;"",AN106&lt;&gt;""),"継続で適用",""))</f>
        <v/>
      </c>
      <c r="AO108" s="1345" t="str">
        <f>IF(AND(U108&lt;&gt;"",AO106=""),"新規に適用",IF(AND(U108&lt;&gt;"",AO106&lt;&gt;""),"継続で適用",""))</f>
        <v/>
      </c>
      <c r="AP108" s="1391"/>
      <c r="AQ108" s="1345" t="str">
        <f>IF(AND(U108&lt;&gt;"",AQ106=""),"新規に適用",IF(AND(U108&lt;&gt;"",AQ106&lt;&gt;""),"継続で適用",""))</f>
        <v/>
      </c>
      <c r="AR108" s="1349" t="str">
        <f t="shared" si="70"/>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316"/>
      <c r="B109" s="1439"/>
      <c r="C109" s="1440"/>
      <c r="D109" s="1440"/>
      <c r="E109" s="1440"/>
      <c r="F109" s="1441"/>
      <c r="G109" s="1269"/>
      <c r="H109" s="1269"/>
      <c r="I109" s="1269"/>
      <c r="J109" s="1444"/>
      <c r="K109" s="1269"/>
      <c r="L109" s="1275"/>
      <c r="M109" s="1278"/>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66"/>
      <c r="AI109" s="1368"/>
      <c r="AJ109" s="1370"/>
      <c r="AK109" s="1372"/>
      <c r="AL109" s="1362"/>
      <c r="AM109" s="1374"/>
      <c r="AN109" s="1346"/>
      <c r="AO109" s="1346"/>
      <c r="AP109" s="1392"/>
      <c r="AQ109" s="1346"/>
      <c r="AR109" s="1350"/>
      <c r="AS109" s="1346"/>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314">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43" t="str">
        <f>IF(基本情報入力シート!X78="","",基本情報入力シート!X78)</f>
        <v/>
      </c>
      <c r="K110" s="1268" t="str">
        <f>IF(基本情報入力シート!Y78="","",基本情報入力シート!Y78)</f>
        <v/>
      </c>
      <c r="L110" s="1274"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2173</v>
      </c>
      <c r="U110" s="1433"/>
      <c r="V110" s="1435" t="str">
        <f>IFERROR(VLOOKUP(K110,【参考】数式用!$A$5:$AB$27,MATCH(U110,【参考】数式用!$B$4:$AB$4,0)+1,0),"")</f>
        <v/>
      </c>
      <c r="W110" s="1437" t="s">
        <v>19</v>
      </c>
      <c r="X110" s="1375">
        <v>6</v>
      </c>
      <c r="Y110" s="1377" t="s">
        <v>10</v>
      </c>
      <c r="Z110" s="1375">
        <v>6</v>
      </c>
      <c r="AA110" s="1377" t="s">
        <v>45</v>
      </c>
      <c r="AB110" s="1375">
        <v>7</v>
      </c>
      <c r="AC110" s="1377" t="s">
        <v>10</v>
      </c>
      <c r="AD110" s="1375">
        <v>3</v>
      </c>
      <c r="AE110" s="1377" t="s">
        <v>13</v>
      </c>
      <c r="AF110" s="1377" t="s">
        <v>24</v>
      </c>
      <c r="AG110" s="1377">
        <f>IF(X110&gt;=1,(AB110*12+AD110)-(X110*12+Z110)+1,"")</f>
        <v>10</v>
      </c>
      <c r="AH110" s="1379" t="s">
        <v>38</v>
      </c>
      <c r="AI110" s="1381" t="str">
        <f>IFERROR(ROUNDDOWN(ROUND(L110*V110,0)*M110,0)*AG110,"")</f>
        <v/>
      </c>
      <c r="AJ110" s="1383" t="str">
        <f>IFERROR(ROUNDDOWN(ROUND((L110*(V110-AX110)),0)*M110,0)*AG110,"")</f>
        <v/>
      </c>
      <c r="AK110" s="1385">
        <f>IFERROR(IF(OR(N110="",N111="",N113=""),0,ROUNDDOWN(ROUNDDOWN(ROUND(L110*VLOOKUP(K110,【参考】数式用!$A$5:$AB$27,MATCH("新加算Ⅳ",【参考】数式用!$B$4:$AB$4,0)+1,0),0)*M110,0)*AG110*0.5,0)),"")</f>
        <v>0</v>
      </c>
      <c r="AL110" s="1363"/>
      <c r="AM110" s="138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1"/>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2098</v>
      </c>
      <c r="BA110" s="1247" t="s">
        <v>2099</v>
      </c>
      <c r="BB110" s="1247" t="s">
        <v>2100</v>
      </c>
      <c r="BC110" s="1247" t="s">
        <v>2101</v>
      </c>
      <c r="BD110" s="1247" t="str">
        <f>IF(AND(P110&lt;&gt;"新加算Ⅰ",P110&lt;&gt;"新加算Ⅱ",P110&lt;&gt;"新加算Ⅲ",P110&lt;&gt;"新加算Ⅳ"),P110,IF(Q112&lt;&gt;"",Q112,""))</f>
        <v/>
      </c>
      <c r="BE110" s="1247"/>
      <c r="BF110" s="1247" t="str">
        <f t="shared" ref="BF110" si="75">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315"/>
      <c r="B111" s="1301"/>
      <c r="C111" s="1302"/>
      <c r="D111" s="1302"/>
      <c r="E111" s="1302"/>
      <c r="F111" s="1303"/>
      <c r="G111" s="1268"/>
      <c r="H111" s="1268"/>
      <c r="I111" s="1268"/>
      <c r="J111" s="1443"/>
      <c r="K111" s="1268"/>
      <c r="L111" s="1274"/>
      <c r="M111" s="1445"/>
      <c r="N111" s="1399" t="str">
        <f>IF('別紙様式2-2（４・５月分）'!Q87="","",'別紙様式2-2（４・５月分）'!Q87)</f>
        <v/>
      </c>
      <c r="O111" s="1420"/>
      <c r="P111" s="1426"/>
      <c r="Q111" s="1427"/>
      <c r="R111" s="1428"/>
      <c r="S111" s="1430"/>
      <c r="T111" s="1432"/>
      <c r="U111" s="1434"/>
      <c r="V111" s="1436"/>
      <c r="W111" s="1438"/>
      <c r="X111" s="1376"/>
      <c r="Y111" s="1378"/>
      <c r="Z111" s="1376"/>
      <c r="AA111" s="1378"/>
      <c r="AB111" s="1376"/>
      <c r="AC111" s="1378"/>
      <c r="AD111" s="1376"/>
      <c r="AE111" s="1378"/>
      <c r="AF111" s="1378"/>
      <c r="AG111" s="1378"/>
      <c r="AH111" s="1380"/>
      <c r="AI111" s="1382"/>
      <c r="AJ111" s="1384"/>
      <c r="AK111" s="1386"/>
      <c r="AL111" s="1364"/>
      <c r="AM111" s="1388"/>
      <c r="AN111" s="1360"/>
      <c r="AO111" s="1390"/>
      <c r="AP111" s="1394"/>
      <c r="AQ111" s="1394"/>
      <c r="AR111" s="1396"/>
      <c r="AS111" s="1348"/>
      <c r="AT111" s="1334" t="str">
        <f t="shared" si="53"/>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1"/>
      <c r="C112" s="1302"/>
      <c r="D112" s="1302"/>
      <c r="E112" s="1302"/>
      <c r="F112" s="1303"/>
      <c r="G112" s="1268"/>
      <c r="H112" s="1268"/>
      <c r="I112" s="1268"/>
      <c r="J112" s="1443"/>
      <c r="K112" s="1268"/>
      <c r="L112" s="1274"/>
      <c r="M112" s="1445"/>
      <c r="N112" s="1400"/>
      <c r="O112" s="1421"/>
      <c r="P112" s="1401" t="s">
        <v>2179</v>
      </c>
      <c r="Q112" s="1403" t="str">
        <f>IFERROR(VLOOKUP('別紙様式2-2（４・５月分）'!AR86,【参考】数式用!$AT$5:$AV$22,3,FALSE),"")</f>
        <v/>
      </c>
      <c r="R112" s="1405" t="s">
        <v>2190</v>
      </c>
      <c r="S112" s="1447" t="str">
        <f>IFERROR(VLOOKUP(K110,【参考】数式用!$A$5:$AB$27,MATCH(Q112,【参考】数式用!$B$4:$AB$4,0)+1,0),"")</f>
        <v/>
      </c>
      <c r="T112" s="1409" t="s">
        <v>217</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5" t="s">
        <v>38</v>
      </c>
      <c r="AI112" s="1367" t="str">
        <f>IFERROR(ROUNDDOWN(ROUND(L110*V112,0)*M110,0)*AG112,"")</f>
        <v/>
      </c>
      <c r="AJ112" s="1369" t="str">
        <f>IFERROR(ROUNDDOWN(ROUND((L110*(V112-AX110)),0)*M110,0)*AG112,"")</f>
        <v/>
      </c>
      <c r="AK112" s="1371">
        <f>IFERROR(IF(OR(N110="",N111="",N113=""),0,ROUNDDOWN(ROUNDDOWN(ROUND(L110*VLOOKUP(K110,【参考】数式用!$A$5:$AB$27,MATCH("新加算Ⅳ",【参考】数式用!$B$4:$AB$4,0)+1,0),0)*M110,0)*AG112*0.5,0)),"")</f>
        <v>0</v>
      </c>
      <c r="AL112" s="1361" t="str">
        <f t="shared" ref="AL112" si="76">IF(U112&lt;&gt;"","新規に適用","")</f>
        <v/>
      </c>
      <c r="AM112" s="1373">
        <f>IFERROR(IF(OR(N113="ベア加算",N113=""),0, IF(OR(U110="新加算Ⅰ",U110="新加算Ⅱ",U110="新加算Ⅲ",U110="新加算Ⅳ"),0,ROUNDDOWN(ROUND(L110*VLOOKUP(K110,【参考】数式用!$A$5:$I$27,MATCH("ベア加算",【参考】数式用!$B$4:$I$4,0)+1,0),0)*M110,0)*AG112)),"")</f>
        <v>0</v>
      </c>
      <c r="AN112" s="1345" t="str">
        <f>IF(AND(U112&lt;&gt;"",AN110=""),"新規に適用",IF(AND(U112&lt;&gt;"",AN110&lt;&gt;""),"継続で適用",""))</f>
        <v/>
      </c>
      <c r="AO112" s="1345" t="str">
        <f>IF(AND(U112&lt;&gt;"",AO110=""),"新規に適用",IF(AND(U112&lt;&gt;"",AO110&lt;&gt;""),"継続で適用",""))</f>
        <v/>
      </c>
      <c r="AP112" s="1391"/>
      <c r="AQ112" s="1345" t="str">
        <f>IF(AND(U112&lt;&gt;"",AQ110=""),"新規に適用",IF(AND(U112&lt;&gt;"",AQ110&lt;&gt;""),"継続で適用",""))</f>
        <v/>
      </c>
      <c r="AR112" s="1349" t="str">
        <f t="shared" si="70"/>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316"/>
      <c r="B113" s="1439"/>
      <c r="C113" s="1440"/>
      <c r="D113" s="1440"/>
      <c r="E113" s="1440"/>
      <c r="F113" s="1441"/>
      <c r="G113" s="1269"/>
      <c r="H113" s="1269"/>
      <c r="I113" s="1269"/>
      <c r="J113" s="1444"/>
      <c r="K113" s="1269"/>
      <c r="L113" s="1275"/>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66"/>
      <c r="AI113" s="1368"/>
      <c r="AJ113" s="1370"/>
      <c r="AK113" s="1372"/>
      <c r="AL113" s="1362"/>
      <c r="AM113" s="1374"/>
      <c r="AN113" s="1346"/>
      <c r="AO113" s="1346"/>
      <c r="AP113" s="1392"/>
      <c r="AQ113" s="1346"/>
      <c r="AR113" s="1350"/>
      <c r="AS113" s="1346"/>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4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2173</v>
      </c>
      <c r="U114" s="1433"/>
      <c r="V114" s="1435" t="str">
        <f>IFERROR(VLOOKUP(K114,【参考】数式用!$A$5:$AB$27,MATCH(U114,【参考】数式用!$B$4:$AB$4,0)+1,0),"")</f>
        <v/>
      </c>
      <c r="W114" s="1437" t="s">
        <v>19</v>
      </c>
      <c r="X114" s="1375">
        <v>6</v>
      </c>
      <c r="Y114" s="1377" t="s">
        <v>10</v>
      </c>
      <c r="Z114" s="1375">
        <v>6</v>
      </c>
      <c r="AA114" s="1377" t="s">
        <v>45</v>
      </c>
      <c r="AB114" s="1375">
        <v>7</v>
      </c>
      <c r="AC114" s="1377" t="s">
        <v>10</v>
      </c>
      <c r="AD114" s="1375">
        <v>3</v>
      </c>
      <c r="AE114" s="1377" t="s">
        <v>13</v>
      </c>
      <c r="AF114" s="1377" t="s">
        <v>24</v>
      </c>
      <c r="AG114" s="1377">
        <f>IF(X114&gt;=1,(AB114*12+AD114)-(X114*12+Z114)+1,"")</f>
        <v>10</v>
      </c>
      <c r="AH114" s="1379" t="s">
        <v>38</v>
      </c>
      <c r="AI114" s="1381" t="str">
        <f>IFERROR(ROUNDDOWN(ROUND(L114*V114,0)*M114,0)*AG114,"")</f>
        <v/>
      </c>
      <c r="AJ114" s="1383" t="str">
        <f>IFERROR(ROUNDDOWN(ROUND((L114*(V114-AX114)),0)*M114,0)*AG114,"")</f>
        <v/>
      </c>
      <c r="AK114" s="1385">
        <f>IFERROR(IF(OR(N114="",N115="",N117=""),0,ROUNDDOWN(ROUNDDOWN(ROUND(L114*VLOOKUP(K114,【参考】数式用!$A$5:$AB$27,MATCH("新加算Ⅳ",【参考】数式用!$B$4:$AB$4,0)+1,0),0)*M114,0)*AG114*0.5,0)),"")</f>
        <v>0</v>
      </c>
      <c r="AL114" s="1363"/>
      <c r="AM114" s="138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1"/>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2098</v>
      </c>
      <c r="BA114" s="1247" t="s">
        <v>2099</v>
      </c>
      <c r="BB114" s="1247" t="s">
        <v>2100</v>
      </c>
      <c r="BC114" s="1247" t="s">
        <v>2101</v>
      </c>
      <c r="BD114" s="1247" t="str">
        <f>IF(AND(P114&lt;&gt;"新加算Ⅰ",P114&lt;&gt;"新加算Ⅱ",P114&lt;&gt;"新加算Ⅲ",P114&lt;&gt;"新加算Ⅳ"),P114,IF(Q116&lt;&gt;"",Q116,""))</f>
        <v/>
      </c>
      <c r="BE114" s="1247"/>
      <c r="BF114" s="1247" t="str">
        <f t="shared" ref="BF114" si="78">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315"/>
      <c r="B115" s="1301"/>
      <c r="C115" s="1302"/>
      <c r="D115" s="1302"/>
      <c r="E115" s="1302"/>
      <c r="F115" s="1303"/>
      <c r="G115" s="1268"/>
      <c r="H115" s="1268"/>
      <c r="I115" s="1268"/>
      <c r="J115" s="1443"/>
      <c r="K115" s="1268"/>
      <c r="L115" s="1274"/>
      <c r="M115" s="1277"/>
      <c r="N115" s="1399" t="str">
        <f>IF('別紙様式2-2（４・５月分）'!Q90="","",'別紙様式2-2（４・５月分）'!Q90)</f>
        <v/>
      </c>
      <c r="O115" s="1420"/>
      <c r="P115" s="1426"/>
      <c r="Q115" s="1427"/>
      <c r="R115" s="1428"/>
      <c r="S115" s="1430"/>
      <c r="T115" s="1432"/>
      <c r="U115" s="1434"/>
      <c r="V115" s="1436"/>
      <c r="W115" s="1438"/>
      <c r="X115" s="1376"/>
      <c r="Y115" s="1378"/>
      <c r="Z115" s="1376"/>
      <c r="AA115" s="1378"/>
      <c r="AB115" s="1376"/>
      <c r="AC115" s="1378"/>
      <c r="AD115" s="1376"/>
      <c r="AE115" s="1378"/>
      <c r="AF115" s="1378"/>
      <c r="AG115" s="1378"/>
      <c r="AH115" s="1380"/>
      <c r="AI115" s="1382"/>
      <c r="AJ115" s="1384"/>
      <c r="AK115" s="1386"/>
      <c r="AL115" s="1364"/>
      <c r="AM115" s="1388"/>
      <c r="AN115" s="1360"/>
      <c r="AO115" s="1390"/>
      <c r="AP115" s="1394"/>
      <c r="AQ115" s="1394"/>
      <c r="AR115" s="1396"/>
      <c r="AS115" s="1348"/>
      <c r="AT115" s="1334" t="str">
        <f t="shared" si="53"/>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1"/>
      <c r="C116" s="1302"/>
      <c r="D116" s="1302"/>
      <c r="E116" s="1302"/>
      <c r="F116" s="1303"/>
      <c r="G116" s="1268"/>
      <c r="H116" s="1268"/>
      <c r="I116" s="1268"/>
      <c r="J116" s="1443"/>
      <c r="K116" s="1268"/>
      <c r="L116" s="1274"/>
      <c r="M116" s="1277"/>
      <c r="N116" s="1400"/>
      <c r="O116" s="1421"/>
      <c r="P116" s="1401" t="s">
        <v>2179</v>
      </c>
      <c r="Q116" s="1403" t="str">
        <f>IFERROR(VLOOKUP('別紙様式2-2（４・５月分）'!AR89,【参考】数式用!$AT$5:$AV$22,3,FALSE),"")</f>
        <v/>
      </c>
      <c r="R116" s="1405" t="s">
        <v>2190</v>
      </c>
      <c r="S116" s="1407" t="str">
        <f>IFERROR(VLOOKUP(K114,【参考】数式用!$A$5:$AB$27,MATCH(Q116,【参考】数式用!$B$4:$AB$4,0)+1,0),"")</f>
        <v/>
      </c>
      <c r="T116" s="1409" t="s">
        <v>217</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5" t="s">
        <v>38</v>
      </c>
      <c r="AI116" s="1367" t="str">
        <f>IFERROR(ROUNDDOWN(ROUND(L114*V116,0)*M114,0)*AG116,"")</f>
        <v/>
      </c>
      <c r="AJ116" s="1369" t="str">
        <f>IFERROR(ROUNDDOWN(ROUND((L114*(V116-AX114)),0)*M114,0)*AG116,"")</f>
        <v/>
      </c>
      <c r="AK116" s="1371">
        <f>IFERROR(IF(OR(N114="",N115="",N117=""),0,ROUNDDOWN(ROUNDDOWN(ROUND(L114*VLOOKUP(K114,【参考】数式用!$A$5:$AB$27,MATCH("新加算Ⅳ",【参考】数式用!$B$4:$AB$4,0)+1,0),0)*M114,0)*AG116*0.5,0)),"")</f>
        <v>0</v>
      </c>
      <c r="AL116" s="1361" t="str">
        <f t="shared" ref="AL116" si="79">IF(U116&lt;&gt;"","新規に適用","")</f>
        <v/>
      </c>
      <c r="AM116" s="1373">
        <f>IFERROR(IF(OR(N117="ベア加算",N117=""),0, IF(OR(U114="新加算Ⅰ",U114="新加算Ⅱ",U114="新加算Ⅲ",U114="新加算Ⅳ"),0,ROUNDDOWN(ROUND(L114*VLOOKUP(K114,【参考】数式用!$A$5:$I$27,MATCH("ベア加算",【参考】数式用!$B$4:$I$4,0)+1,0),0)*M114,0)*AG116)),"")</f>
        <v>0</v>
      </c>
      <c r="AN116" s="1345" t="str">
        <f>IF(AND(U116&lt;&gt;"",AN114=""),"新規に適用",IF(AND(U116&lt;&gt;"",AN114&lt;&gt;""),"継続で適用",""))</f>
        <v/>
      </c>
      <c r="AO116" s="1345" t="str">
        <f>IF(AND(U116&lt;&gt;"",AO114=""),"新規に適用",IF(AND(U116&lt;&gt;"",AO114&lt;&gt;""),"継続で適用",""))</f>
        <v/>
      </c>
      <c r="AP116" s="1391"/>
      <c r="AQ116" s="1345" t="str">
        <f>IF(AND(U116&lt;&gt;"",AQ114=""),"新規に適用",IF(AND(U116&lt;&gt;"",AQ114&lt;&gt;""),"継続で適用",""))</f>
        <v/>
      </c>
      <c r="AR116" s="1349" t="str">
        <f t="shared" si="70"/>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316"/>
      <c r="B117" s="1439"/>
      <c r="C117" s="1440"/>
      <c r="D117" s="1440"/>
      <c r="E117" s="1440"/>
      <c r="F117" s="1441"/>
      <c r="G117" s="1269"/>
      <c r="H117" s="1269"/>
      <c r="I117" s="1269"/>
      <c r="J117" s="1444"/>
      <c r="K117" s="1269"/>
      <c r="L117" s="1275"/>
      <c r="M117" s="1278"/>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66"/>
      <c r="AI117" s="1368"/>
      <c r="AJ117" s="1370"/>
      <c r="AK117" s="1372"/>
      <c r="AL117" s="1362"/>
      <c r="AM117" s="1374"/>
      <c r="AN117" s="1346"/>
      <c r="AO117" s="1346"/>
      <c r="AP117" s="1392"/>
      <c r="AQ117" s="1346"/>
      <c r="AR117" s="1350"/>
      <c r="AS117" s="1346"/>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314">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43" t="str">
        <f>IF(基本情報入力シート!X80="","",基本情報入力シート!X80)</f>
        <v/>
      </c>
      <c r="K118" s="1268" t="str">
        <f>IF(基本情報入力シート!Y80="","",基本情報入力シート!Y80)</f>
        <v/>
      </c>
      <c r="L118" s="1274"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2173</v>
      </c>
      <c r="U118" s="1433"/>
      <c r="V118" s="1435" t="str">
        <f>IFERROR(VLOOKUP(K118,【参考】数式用!$A$5:$AB$27,MATCH(U118,【参考】数式用!$B$4:$AB$4,0)+1,0),"")</f>
        <v/>
      </c>
      <c r="W118" s="1437" t="s">
        <v>19</v>
      </c>
      <c r="X118" s="1375">
        <v>6</v>
      </c>
      <c r="Y118" s="1377" t="s">
        <v>10</v>
      </c>
      <c r="Z118" s="1375">
        <v>6</v>
      </c>
      <c r="AA118" s="1377" t="s">
        <v>45</v>
      </c>
      <c r="AB118" s="1375">
        <v>7</v>
      </c>
      <c r="AC118" s="1377" t="s">
        <v>10</v>
      </c>
      <c r="AD118" s="1375">
        <v>3</v>
      </c>
      <c r="AE118" s="1377" t="s">
        <v>13</v>
      </c>
      <c r="AF118" s="1377" t="s">
        <v>24</v>
      </c>
      <c r="AG118" s="1377">
        <f>IF(X118&gt;=1,(AB118*12+AD118)-(X118*12+Z118)+1,"")</f>
        <v>10</v>
      </c>
      <c r="AH118" s="1379" t="s">
        <v>38</v>
      </c>
      <c r="AI118" s="1381" t="str">
        <f>IFERROR(ROUNDDOWN(ROUND(L118*V118,0)*M118,0)*AG118,"")</f>
        <v/>
      </c>
      <c r="AJ118" s="1383" t="str">
        <f>IFERROR(ROUNDDOWN(ROUND((L118*(V118-AX118)),0)*M118,0)*AG118,"")</f>
        <v/>
      </c>
      <c r="AK118" s="1385">
        <f>IFERROR(IF(OR(N118="",N119="",N121=""),0,ROUNDDOWN(ROUNDDOWN(ROUND(L118*VLOOKUP(K118,【参考】数式用!$A$5:$AB$27,MATCH("新加算Ⅳ",【参考】数式用!$B$4:$AB$4,0)+1,0),0)*M118,0)*AG118*0.5,0)),"")</f>
        <v>0</v>
      </c>
      <c r="AL118" s="1363"/>
      <c r="AM118" s="138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1"/>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2098</v>
      </c>
      <c r="BA118" s="1247" t="s">
        <v>2099</v>
      </c>
      <c r="BB118" s="1247" t="s">
        <v>2100</v>
      </c>
      <c r="BC118" s="1247" t="s">
        <v>2101</v>
      </c>
      <c r="BD118" s="1247" t="str">
        <f>IF(AND(P118&lt;&gt;"新加算Ⅰ",P118&lt;&gt;"新加算Ⅱ",P118&lt;&gt;"新加算Ⅲ",P118&lt;&gt;"新加算Ⅳ"),P118,IF(Q120&lt;&gt;"",Q120,""))</f>
        <v/>
      </c>
      <c r="BE118" s="1247"/>
      <c r="BF118" s="1247" t="str">
        <f t="shared" ref="BF118" si="81">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315"/>
      <c r="B119" s="1301"/>
      <c r="C119" s="1302"/>
      <c r="D119" s="1302"/>
      <c r="E119" s="1302"/>
      <c r="F119" s="1303"/>
      <c r="G119" s="1268"/>
      <c r="H119" s="1268"/>
      <c r="I119" s="1268"/>
      <c r="J119" s="1443"/>
      <c r="K119" s="1268"/>
      <c r="L119" s="1274"/>
      <c r="M119" s="1445"/>
      <c r="N119" s="1399" t="str">
        <f>IF('別紙様式2-2（４・５月分）'!Q93="","",'別紙様式2-2（４・５月分）'!Q93)</f>
        <v/>
      </c>
      <c r="O119" s="1420"/>
      <c r="P119" s="1426"/>
      <c r="Q119" s="1427"/>
      <c r="R119" s="1428"/>
      <c r="S119" s="1430"/>
      <c r="T119" s="1432"/>
      <c r="U119" s="1434"/>
      <c r="V119" s="1436"/>
      <c r="W119" s="1438"/>
      <c r="X119" s="1376"/>
      <c r="Y119" s="1378"/>
      <c r="Z119" s="1376"/>
      <c r="AA119" s="1378"/>
      <c r="AB119" s="1376"/>
      <c r="AC119" s="1378"/>
      <c r="AD119" s="1376"/>
      <c r="AE119" s="1378"/>
      <c r="AF119" s="1378"/>
      <c r="AG119" s="1378"/>
      <c r="AH119" s="1380"/>
      <c r="AI119" s="1382"/>
      <c r="AJ119" s="1384"/>
      <c r="AK119" s="1386"/>
      <c r="AL119" s="1364"/>
      <c r="AM119" s="1388"/>
      <c r="AN119" s="1360"/>
      <c r="AO119" s="1390"/>
      <c r="AP119" s="1394"/>
      <c r="AQ119" s="1394"/>
      <c r="AR119" s="1396"/>
      <c r="AS119" s="1348"/>
      <c r="AT119" s="1334" t="str">
        <f t="shared" si="53"/>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1"/>
      <c r="C120" s="1302"/>
      <c r="D120" s="1302"/>
      <c r="E120" s="1302"/>
      <c r="F120" s="1303"/>
      <c r="G120" s="1268"/>
      <c r="H120" s="1268"/>
      <c r="I120" s="1268"/>
      <c r="J120" s="1443"/>
      <c r="K120" s="1268"/>
      <c r="L120" s="1274"/>
      <c r="M120" s="1445"/>
      <c r="N120" s="1400"/>
      <c r="O120" s="1421"/>
      <c r="P120" s="1401" t="s">
        <v>2179</v>
      </c>
      <c r="Q120" s="1403" t="str">
        <f>IFERROR(VLOOKUP('別紙様式2-2（４・５月分）'!AR92,【参考】数式用!$AT$5:$AV$22,3,FALSE),"")</f>
        <v/>
      </c>
      <c r="R120" s="1405" t="s">
        <v>2190</v>
      </c>
      <c r="S120" s="1447" t="str">
        <f>IFERROR(VLOOKUP(K118,【参考】数式用!$A$5:$AB$27,MATCH(Q120,【参考】数式用!$B$4:$AB$4,0)+1,0),"")</f>
        <v/>
      </c>
      <c r="T120" s="1409" t="s">
        <v>217</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5" t="s">
        <v>38</v>
      </c>
      <c r="AI120" s="1367" t="str">
        <f>IFERROR(ROUNDDOWN(ROUND(L118*V120,0)*M118,0)*AG120,"")</f>
        <v/>
      </c>
      <c r="AJ120" s="1369" t="str">
        <f>IFERROR(ROUNDDOWN(ROUND((L118*(V120-AX118)),0)*M118,0)*AG120,"")</f>
        <v/>
      </c>
      <c r="AK120" s="1371">
        <f>IFERROR(IF(OR(N118="",N119="",N121=""),0,ROUNDDOWN(ROUNDDOWN(ROUND(L118*VLOOKUP(K118,【参考】数式用!$A$5:$AB$27,MATCH("新加算Ⅳ",【参考】数式用!$B$4:$AB$4,0)+1,0),0)*M118,0)*AG120*0.5,0)),"")</f>
        <v>0</v>
      </c>
      <c r="AL120" s="1361" t="str">
        <f t="shared" ref="AL120" si="82">IF(U120&lt;&gt;"","新規に適用","")</f>
        <v/>
      </c>
      <c r="AM120" s="1373">
        <f>IFERROR(IF(OR(N121="ベア加算",N121=""),0, IF(OR(U118="新加算Ⅰ",U118="新加算Ⅱ",U118="新加算Ⅲ",U118="新加算Ⅳ"),0,ROUNDDOWN(ROUND(L118*VLOOKUP(K118,【参考】数式用!$A$5:$I$27,MATCH("ベア加算",【参考】数式用!$B$4:$I$4,0)+1,0),0)*M118,0)*AG120)),"")</f>
        <v>0</v>
      </c>
      <c r="AN120" s="1345" t="str">
        <f>IF(AND(U120&lt;&gt;"",AN118=""),"新規に適用",IF(AND(U120&lt;&gt;"",AN118&lt;&gt;""),"継続で適用",""))</f>
        <v/>
      </c>
      <c r="AO120" s="1345" t="str">
        <f>IF(AND(U120&lt;&gt;"",AO118=""),"新規に適用",IF(AND(U120&lt;&gt;"",AO118&lt;&gt;""),"継続で適用",""))</f>
        <v/>
      </c>
      <c r="AP120" s="1391"/>
      <c r="AQ120" s="1345" t="str">
        <f>IF(AND(U120&lt;&gt;"",AQ118=""),"新規に適用",IF(AND(U120&lt;&gt;"",AQ118&lt;&gt;""),"継続で適用",""))</f>
        <v/>
      </c>
      <c r="AR120" s="1349" t="str">
        <f t="shared" si="70"/>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316"/>
      <c r="B121" s="1439"/>
      <c r="C121" s="1440"/>
      <c r="D121" s="1440"/>
      <c r="E121" s="1440"/>
      <c r="F121" s="1441"/>
      <c r="G121" s="1269"/>
      <c r="H121" s="1269"/>
      <c r="I121" s="1269"/>
      <c r="J121" s="1444"/>
      <c r="K121" s="1269"/>
      <c r="L121" s="1275"/>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66"/>
      <c r="AI121" s="1368"/>
      <c r="AJ121" s="1370"/>
      <c r="AK121" s="1372"/>
      <c r="AL121" s="1362"/>
      <c r="AM121" s="1374"/>
      <c r="AN121" s="1346"/>
      <c r="AO121" s="1346"/>
      <c r="AP121" s="1392"/>
      <c r="AQ121" s="1346"/>
      <c r="AR121" s="1350"/>
      <c r="AS121" s="1346"/>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4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2173</v>
      </c>
      <c r="U122" s="1433"/>
      <c r="V122" s="1435" t="str">
        <f>IFERROR(VLOOKUP(K122,【参考】数式用!$A$5:$AB$27,MATCH(U122,【参考】数式用!$B$4:$AB$4,0)+1,0),"")</f>
        <v/>
      </c>
      <c r="W122" s="1437" t="s">
        <v>19</v>
      </c>
      <c r="X122" s="1375">
        <v>6</v>
      </c>
      <c r="Y122" s="1377" t="s">
        <v>10</v>
      </c>
      <c r="Z122" s="1375">
        <v>6</v>
      </c>
      <c r="AA122" s="1377" t="s">
        <v>45</v>
      </c>
      <c r="AB122" s="1375">
        <v>7</v>
      </c>
      <c r="AC122" s="1377" t="s">
        <v>10</v>
      </c>
      <c r="AD122" s="1375">
        <v>3</v>
      </c>
      <c r="AE122" s="1377" t="s">
        <v>13</v>
      </c>
      <c r="AF122" s="1377" t="s">
        <v>24</v>
      </c>
      <c r="AG122" s="1377">
        <f>IF(X122&gt;=1,(AB122*12+AD122)-(X122*12+Z122)+1,"")</f>
        <v>10</v>
      </c>
      <c r="AH122" s="1379" t="s">
        <v>38</v>
      </c>
      <c r="AI122" s="1381" t="str">
        <f>IFERROR(ROUNDDOWN(ROUND(L122*V122,0)*M122,0)*AG122,"")</f>
        <v/>
      </c>
      <c r="AJ122" s="1383" t="str">
        <f>IFERROR(ROUNDDOWN(ROUND((L122*(V122-AX122)),0)*M122,0)*AG122,"")</f>
        <v/>
      </c>
      <c r="AK122" s="1385">
        <f>IFERROR(IF(OR(N122="",N123="",N125=""),0,ROUNDDOWN(ROUNDDOWN(ROUND(L122*VLOOKUP(K122,【参考】数式用!$A$5:$AB$27,MATCH("新加算Ⅳ",【参考】数式用!$B$4:$AB$4,0)+1,0),0)*M122,0)*AG122*0.5,0)),"")</f>
        <v>0</v>
      </c>
      <c r="AL122" s="1363"/>
      <c r="AM122" s="138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1"/>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2098</v>
      </c>
      <c r="BA122" s="1247" t="s">
        <v>2099</v>
      </c>
      <c r="BB122" s="1247" t="s">
        <v>2100</v>
      </c>
      <c r="BC122" s="1247" t="s">
        <v>2101</v>
      </c>
      <c r="BD122" s="1247" t="str">
        <f>IF(AND(P122&lt;&gt;"新加算Ⅰ",P122&lt;&gt;"新加算Ⅱ",P122&lt;&gt;"新加算Ⅲ",P122&lt;&gt;"新加算Ⅳ"),P122,IF(Q124&lt;&gt;"",Q124,""))</f>
        <v/>
      </c>
      <c r="BE122" s="1247"/>
      <c r="BF122" s="1247" t="str">
        <f t="shared" ref="BF122" si="84">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315"/>
      <c r="B123" s="1301"/>
      <c r="C123" s="1302"/>
      <c r="D123" s="1302"/>
      <c r="E123" s="1302"/>
      <c r="F123" s="1303"/>
      <c r="G123" s="1268"/>
      <c r="H123" s="1268"/>
      <c r="I123" s="1268"/>
      <c r="J123" s="1443"/>
      <c r="K123" s="1268"/>
      <c r="L123" s="1274"/>
      <c r="M123" s="1277"/>
      <c r="N123" s="1399" t="str">
        <f>IF('別紙様式2-2（４・５月分）'!Q96="","",'別紙様式2-2（４・５月分）'!Q96)</f>
        <v/>
      </c>
      <c r="O123" s="1420"/>
      <c r="P123" s="1426"/>
      <c r="Q123" s="1427"/>
      <c r="R123" s="1428"/>
      <c r="S123" s="1430"/>
      <c r="T123" s="1432"/>
      <c r="U123" s="1434"/>
      <c r="V123" s="1436"/>
      <c r="W123" s="1438"/>
      <c r="X123" s="1376"/>
      <c r="Y123" s="1378"/>
      <c r="Z123" s="1376"/>
      <c r="AA123" s="1378"/>
      <c r="AB123" s="1376"/>
      <c r="AC123" s="1378"/>
      <c r="AD123" s="1376"/>
      <c r="AE123" s="1378"/>
      <c r="AF123" s="1378"/>
      <c r="AG123" s="1378"/>
      <c r="AH123" s="1380"/>
      <c r="AI123" s="1382"/>
      <c r="AJ123" s="1384"/>
      <c r="AK123" s="1386"/>
      <c r="AL123" s="1364"/>
      <c r="AM123" s="1388"/>
      <c r="AN123" s="1360"/>
      <c r="AO123" s="1390"/>
      <c r="AP123" s="1394"/>
      <c r="AQ123" s="1394"/>
      <c r="AR123" s="1396"/>
      <c r="AS123" s="1348"/>
      <c r="AT123" s="1334" t="str">
        <f t="shared" si="53"/>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1"/>
      <c r="C124" s="1302"/>
      <c r="D124" s="1302"/>
      <c r="E124" s="1302"/>
      <c r="F124" s="1303"/>
      <c r="G124" s="1268"/>
      <c r="H124" s="1268"/>
      <c r="I124" s="1268"/>
      <c r="J124" s="1443"/>
      <c r="K124" s="1268"/>
      <c r="L124" s="1274"/>
      <c r="M124" s="1277"/>
      <c r="N124" s="1400"/>
      <c r="O124" s="1421"/>
      <c r="P124" s="1401" t="s">
        <v>2179</v>
      </c>
      <c r="Q124" s="1403" t="str">
        <f>IFERROR(VLOOKUP('別紙様式2-2（４・５月分）'!AR95,【参考】数式用!$AT$5:$AV$22,3,FALSE),"")</f>
        <v/>
      </c>
      <c r="R124" s="1405" t="s">
        <v>2190</v>
      </c>
      <c r="S124" s="1407" t="str">
        <f>IFERROR(VLOOKUP(K122,【参考】数式用!$A$5:$AB$27,MATCH(Q124,【参考】数式用!$B$4:$AB$4,0)+1,0),"")</f>
        <v/>
      </c>
      <c r="T124" s="1409" t="s">
        <v>217</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5" t="s">
        <v>38</v>
      </c>
      <c r="AI124" s="1367" t="str">
        <f>IFERROR(ROUNDDOWN(ROUND(L122*V124,0)*M122,0)*AG124,"")</f>
        <v/>
      </c>
      <c r="AJ124" s="1369" t="str">
        <f>IFERROR(ROUNDDOWN(ROUND((L122*(V124-AX122)),0)*M122,0)*AG124,"")</f>
        <v/>
      </c>
      <c r="AK124" s="1371">
        <f>IFERROR(IF(OR(N122="",N123="",N125=""),0,ROUNDDOWN(ROUNDDOWN(ROUND(L122*VLOOKUP(K122,【参考】数式用!$A$5:$AB$27,MATCH("新加算Ⅳ",【参考】数式用!$B$4:$AB$4,0)+1,0),0)*M122,0)*AG124*0.5,0)),"")</f>
        <v>0</v>
      </c>
      <c r="AL124" s="1361" t="str">
        <f t="shared" ref="AL124" si="85">IF(U124&lt;&gt;"","新規に適用","")</f>
        <v/>
      </c>
      <c r="AM124" s="1373">
        <f>IFERROR(IF(OR(N125="ベア加算",N125=""),0, IF(OR(U122="新加算Ⅰ",U122="新加算Ⅱ",U122="新加算Ⅲ",U122="新加算Ⅳ"),0,ROUNDDOWN(ROUND(L122*VLOOKUP(K122,【参考】数式用!$A$5:$I$27,MATCH("ベア加算",【参考】数式用!$B$4:$I$4,0)+1,0),0)*M122,0)*AG124)),"")</f>
        <v>0</v>
      </c>
      <c r="AN124" s="1345" t="str">
        <f>IF(AND(U124&lt;&gt;"",AN122=""),"新規に適用",IF(AND(U124&lt;&gt;"",AN122&lt;&gt;""),"継続で適用",""))</f>
        <v/>
      </c>
      <c r="AO124" s="1345" t="str">
        <f>IF(AND(U124&lt;&gt;"",AO122=""),"新規に適用",IF(AND(U124&lt;&gt;"",AO122&lt;&gt;""),"継続で適用",""))</f>
        <v/>
      </c>
      <c r="AP124" s="1391"/>
      <c r="AQ124" s="1345" t="str">
        <f>IF(AND(U124&lt;&gt;"",AQ122=""),"新規に適用",IF(AND(U124&lt;&gt;"",AQ122&lt;&gt;""),"継続で適用",""))</f>
        <v/>
      </c>
      <c r="AR124" s="1349" t="str">
        <f t="shared" si="70"/>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316"/>
      <c r="B125" s="1439"/>
      <c r="C125" s="1440"/>
      <c r="D125" s="1440"/>
      <c r="E125" s="1440"/>
      <c r="F125" s="1441"/>
      <c r="G125" s="1269"/>
      <c r="H125" s="1269"/>
      <c r="I125" s="1269"/>
      <c r="J125" s="1444"/>
      <c r="K125" s="1269"/>
      <c r="L125" s="1275"/>
      <c r="M125" s="1278"/>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66"/>
      <c r="AI125" s="1368"/>
      <c r="AJ125" s="1370"/>
      <c r="AK125" s="1372"/>
      <c r="AL125" s="1362"/>
      <c r="AM125" s="1374"/>
      <c r="AN125" s="1346"/>
      <c r="AO125" s="1346"/>
      <c r="AP125" s="1392"/>
      <c r="AQ125" s="1346"/>
      <c r="AR125" s="1350"/>
      <c r="AS125" s="1346"/>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314">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43" t="str">
        <f>IF(基本情報入力シート!X82="","",基本情報入力シート!X82)</f>
        <v/>
      </c>
      <c r="K126" s="1268" t="str">
        <f>IF(基本情報入力シート!Y82="","",基本情報入力シート!Y82)</f>
        <v/>
      </c>
      <c r="L126" s="1274"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2173</v>
      </c>
      <c r="U126" s="1433"/>
      <c r="V126" s="1435" t="str">
        <f>IFERROR(VLOOKUP(K126,【参考】数式用!$A$5:$AB$27,MATCH(U126,【参考】数式用!$B$4:$AB$4,0)+1,0),"")</f>
        <v/>
      </c>
      <c r="W126" s="1437" t="s">
        <v>19</v>
      </c>
      <c r="X126" s="1375">
        <v>6</v>
      </c>
      <c r="Y126" s="1377" t="s">
        <v>10</v>
      </c>
      <c r="Z126" s="1375">
        <v>6</v>
      </c>
      <c r="AA126" s="1377" t="s">
        <v>45</v>
      </c>
      <c r="AB126" s="1375">
        <v>7</v>
      </c>
      <c r="AC126" s="1377" t="s">
        <v>10</v>
      </c>
      <c r="AD126" s="1375">
        <v>3</v>
      </c>
      <c r="AE126" s="1377" t="s">
        <v>13</v>
      </c>
      <c r="AF126" s="1377" t="s">
        <v>24</v>
      </c>
      <c r="AG126" s="1377">
        <f>IF(X126&gt;=1,(AB126*12+AD126)-(X126*12+Z126)+1,"")</f>
        <v>10</v>
      </c>
      <c r="AH126" s="1379" t="s">
        <v>38</v>
      </c>
      <c r="AI126" s="1381" t="str">
        <f>IFERROR(ROUNDDOWN(ROUND(L126*V126,0)*M126,0)*AG126,"")</f>
        <v/>
      </c>
      <c r="AJ126" s="1383" t="str">
        <f>IFERROR(ROUNDDOWN(ROUND((L126*(V126-AX126)),0)*M126,0)*AG126,"")</f>
        <v/>
      </c>
      <c r="AK126" s="1385">
        <f>IFERROR(IF(OR(N126="",N127="",N129=""),0,ROUNDDOWN(ROUNDDOWN(ROUND(L126*VLOOKUP(K126,【参考】数式用!$A$5:$AB$27,MATCH("新加算Ⅳ",【参考】数式用!$B$4:$AB$4,0)+1,0),0)*M126,0)*AG126*0.5,0)),"")</f>
        <v>0</v>
      </c>
      <c r="AL126" s="1363"/>
      <c r="AM126" s="138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1"/>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2098</v>
      </c>
      <c r="BA126" s="1247" t="s">
        <v>2099</v>
      </c>
      <c r="BB126" s="1247" t="s">
        <v>2100</v>
      </c>
      <c r="BC126" s="1247" t="s">
        <v>2101</v>
      </c>
      <c r="BD126" s="1247" t="str">
        <f>IF(AND(P126&lt;&gt;"新加算Ⅰ",P126&lt;&gt;"新加算Ⅱ",P126&lt;&gt;"新加算Ⅲ",P126&lt;&gt;"新加算Ⅳ"),P126,IF(Q128&lt;&gt;"",Q128,""))</f>
        <v/>
      </c>
      <c r="BE126" s="1247"/>
      <c r="BF126" s="1247" t="str">
        <f t="shared" ref="BF126" si="87">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315"/>
      <c r="B127" s="1301"/>
      <c r="C127" s="1302"/>
      <c r="D127" s="1302"/>
      <c r="E127" s="1302"/>
      <c r="F127" s="1303"/>
      <c r="G127" s="1268"/>
      <c r="H127" s="1268"/>
      <c r="I127" s="1268"/>
      <c r="J127" s="1443"/>
      <c r="K127" s="1268"/>
      <c r="L127" s="1274"/>
      <c r="M127" s="1445"/>
      <c r="N127" s="1399" t="str">
        <f>IF('別紙様式2-2（４・５月分）'!Q99="","",'別紙様式2-2（４・５月分）'!Q99)</f>
        <v/>
      </c>
      <c r="O127" s="1420"/>
      <c r="P127" s="1426"/>
      <c r="Q127" s="1427"/>
      <c r="R127" s="1428"/>
      <c r="S127" s="1430"/>
      <c r="T127" s="1432"/>
      <c r="U127" s="1434"/>
      <c r="V127" s="1436"/>
      <c r="W127" s="1438"/>
      <c r="X127" s="1376"/>
      <c r="Y127" s="1378"/>
      <c r="Z127" s="1376"/>
      <c r="AA127" s="1378"/>
      <c r="AB127" s="1376"/>
      <c r="AC127" s="1378"/>
      <c r="AD127" s="1376"/>
      <c r="AE127" s="1378"/>
      <c r="AF127" s="1378"/>
      <c r="AG127" s="1378"/>
      <c r="AH127" s="1380"/>
      <c r="AI127" s="1382"/>
      <c r="AJ127" s="1384"/>
      <c r="AK127" s="1386"/>
      <c r="AL127" s="1364"/>
      <c r="AM127" s="1388"/>
      <c r="AN127" s="1360"/>
      <c r="AO127" s="1390"/>
      <c r="AP127" s="1394"/>
      <c r="AQ127" s="1394"/>
      <c r="AR127" s="1396"/>
      <c r="AS127" s="1348"/>
      <c r="AT127" s="1334" t="str">
        <f t="shared" si="53"/>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1"/>
      <c r="C128" s="1302"/>
      <c r="D128" s="1302"/>
      <c r="E128" s="1302"/>
      <c r="F128" s="1303"/>
      <c r="G128" s="1268"/>
      <c r="H128" s="1268"/>
      <c r="I128" s="1268"/>
      <c r="J128" s="1443"/>
      <c r="K128" s="1268"/>
      <c r="L128" s="1274"/>
      <c r="M128" s="1445"/>
      <c r="N128" s="1400"/>
      <c r="O128" s="1421"/>
      <c r="P128" s="1401" t="s">
        <v>2179</v>
      </c>
      <c r="Q128" s="1403" t="str">
        <f>IFERROR(VLOOKUP('別紙様式2-2（４・５月分）'!AR98,【参考】数式用!$AT$5:$AV$22,3,FALSE),"")</f>
        <v/>
      </c>
      <c r="R128" s="1405" t="s">
        <v>2190</v>
      </c>
      <c r="S128" s="1447" t="str">
        <f>IFERROR(VLOOKUP(K126,【参考】数式用!$A$5:$AB$27,MATCH(Q128,【参考】数式用!$B$4:$AB$4,0)+1,0),"")</f>
        <v/>
      </c>
      <c r="T128" s="1409" t="s">
        <v>217</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5" t="s">
        <v>38</v>
      </c>
      <c r="AI128" s="1367" t="str">
        <f>IFERROR(ROUNDDOWN(ROUND(L126*V128,0)*M126,0)*AG128,"")</f>
        <v/>
      </c>
      <c r="AJ128" s="1369" t="str">
        <f>IFERROR(ROUNDDOWN(ROUND((L126*(V128-AX126)),0)*M126,0)*AG128,"")</f>
        <v/>
      </c>
      <c r="AK128" s="1371">
        <f>IFERROR(IF(OR(N126="",N127="",N129=""),0,ROUNDDOWN(ROUNDDOWN(ROUND(L126*VLOOKUP(K126,【参考】数式用!$A$5:$AB$27,MATCH("新加算Ⅳ",【参考】数式用!$B$4:$AB$4,0)+1,0),0)*M126,0)*AG128*0.5,0)),"")</f>
        <v>0</v>
      </c>
      <c r="AL128" s="1361" t="str">
        <f t="shared" ref="AL128" si="88">IF(U128&lt;&gt;"","新規に適用","")</f>
        <v/>
      </c>
      <c r="AM128" s="1373">
        <f>IFERROR(IF(OR(N129="ベア加算",N129=""),0, IF(OR(U126="新加算Ⅰ",U126="新加算Ⅱ",U126="新加算Ⅲ",U126="新加算Ⅳ"),0,ROUNDDOWN(ROUND(L126*VLOOKUP(K126,【参考】数式用!$A$5:$I$27,MATCH("ベア加算",【参考】数式用!$B$4:$I$4,0)+1,0),0)*M126,0)*AG128)),"")</f>
        <v>0</v>
      </c>
      <c r="AN128" s="1345" t="str">
        <f>IF(AND(U128&lt;&gt;"",AN126=""),"新規に適用",IF(AND(U128&lt;&gt;"",AN126&lt;&gt;""),"継続で適用",""))</f>
        <v/>
      </c>
      <c r="AO128" s="1345" t="str">
        <f>IF(AND(U128&lt;&gt;"",AO126=""),"新規に適用",IF(AND(U128&lt;&gt;"",AO126&lt;&gt;""),"継続で適用",""))</f>
        <v/>
      </c>
      <c r="AP128" s="1391"/>
      <c r="AQ128" s="1345" t="str">
        <f>IF(AND(U128&lt;&gt;"",AQ126=""),"新規に適用",IF(AND(U128&lt;&gt;"",AQ126&lt;&gt;""),"継続で適用",""))</f>
        <v/>
      </c>
      <c r="AR128" s="1349" t="str">
        <f t="shared" si="70"/>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316"/>
      <c r="B129" s="1439"/>
      <c r="C129" s="1440"/>
      <c r="D129" s="1440"/>
      <c r="E129" s="1440"/>
      <c r="F129" s="1441"/>
      <c r="G129" s="1269"/>
      <c r="H129" s="1269"/>
      <c r="I129" s="1269"/>
      <c r="J129" s="1444"/>
      <c r="K129" s="1269"/>
      <c r="L129" s="1275"/>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66"/>
      <c r="AI129" s="1368"/>
      <c r="AJ129" s="1370"/>
      <c r="AK129" s="1372"/>
      <c r="AL129" s="1362"/>
      <c r="AM129" s="1374"/>
      <c r="AN129" s="1346"/>
      <c r="AO129" s="1346"/>
      <c r="AP129" s="1392"/>
      <c r="AQ129" s="1346"/>
      <c r="AR129" s="1350"/>
      <c r="AS129" s="1346"/>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4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2173</v>
      </c>
      <c r="U130" s="1433"/>
      <c r="V130" s="1435" t="str">
        <f>IFERROR(VLOOKUP(K130,【参考】数式用!$A$5:$AB$27,MATCH(U130,【参考】数式用!$B$4:$AB$4,0)+1,0),"")</f>
        <v/>
      </c>
      <c r="W130" s="1437" t="s">
        <v>19</v>
      </c>
      <c r="X130" s="1375">
        <v>6</v>
      </c>
      <c r="Y130" s="1377" t="s">
        <v>10</v>
      </c>
      <c r="Z130" s="1375">
        <v>6</v>
      </c>
      <c r="AA130" s="1377" t="s">
        <v>45</v>
      </c>
      <c r="AB130" s="1375">
        <v>7</v>
      </c>
      <c r="AC130" s="1377" t="s">
        <v>10</v>
      </c>
      <c r="AD130" s="1375">
        <v>3</v>
      </c>
      <c r="AE130" s="1377" t="s">
        <v>13</v>
      </c>
      <c r="AF130" s="1377" t="s">
        <v>24</v>
      </c>
      <c r="AG130" s="1377">
        <f>IF(X130&gt;=1,(AB130*12+AD130)-(X130*12+Z130)+1,"")</f>
        <v>10</v>
      </c>
      <c r="AH130" s="1379" t="s">
        <v>38</v>
      </c>
      <c r="AI130" s="1381" t="str">
        <f>IFERROR(ROUNDDOWN(ROUND(L130*V130,0)*M130,0)*AG130,"")</f>
        <v/>
      </c>
      <c r="AJ130" s="1383" t="str">
        <f>IFERROR(ROUNDDOWN(ROUND((L130*(V130-AX130)),0)*M130,0)*AG130,"")</f>
        <v/>
      </c>
      <c r="AK130" s="1385">
        <f>IFERROR(IF(OR(N130="",N131="",N133=""),0,ROUNDDOWN(ROUNDDOWN(ROUND(L130*VLOOKUP(K130,【参考】数式用!$A$5:$AB$27,MATCH("新加算Ⅳ",【参考】数式用!$B$4:$AB$4,0)+1,0),0)*M130,0)*AG130*0.5,0)),"")</f>
        <v>0</v>
      </c>
      <c r="AL130" s="1363"/>
      <c r="AM130" s="138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1"/>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2098</v>
      </c>
      <c r="BA130" s="1247" t="s">
        <v>2099</v>
      </c>
      <c r="BB130" s="1247" t="s">
        <v>2100</v>
      </c>
      <c r="BC130" s="1247" t="s">
        <v>2101</v>
      </c>
      <c r="BD130" s="1247" t="str">
        <f>IF(AND(P130&lt;&gt;"新加算Ⅰ",P130&lt;&gt;"新加算Ⅱ",P130&lt;&gt;"新加算Ⅲ",P130&lt;&gt;"新加算Ⅳ"),P130,IF(Q132&lt;&gt;"",Q132,""))</f>
        <v/>
      </c>
      <c r="BE130" s="1247"/>
      <c r="BF130" s="1247" t="str">
        <f t="shared" ref="BF130" si="90">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315"/>
      <c r="B131" s="1301"/>
      <c r="C131" s="1302"/>
      <c r="D131" s="1302"/>
      <c r="E131" s="1302"/>
      <c r="F131" s="1303"/>
      <c r="G131" s="1268"/>
      <c r="H131" s="1268"/>
      <c r="I131" s="1268"/>
      <c r="J131" s="1443"/>
      <c r="K131" s="1268"/>
      <c r="L131" s="1274"/>
      <c r="M131" s="1277"/>
      <c r="N131" s="1399" t="str">
        <f>IF('別紙様式2-2（４・５月分）'!Q102="","",'別紙様式2-2（４・５月分）'!Q102)</f>
        <v/>
      </c>
      <c r="O131" s="1420"/>
      <c r="P131" s="1426"/>
      <c r="Q131" s="1427"/>
      <c r="R131" s="1428"/>
      <c r="S131" s="1430"/>
      <c r="T131" s="1432"/>
      <c r="U131" s="1434"/>
      <c r="V131" s="1436"/>
      <c r="W131" s="1438"/>
      <c r="X131" s="1376"/>
      <c r="Y131" s="1378"/>
      <c r="Z131" s="1376"/>
      <c r="AA131" s="1378"/>
      <c r="AB131" s="1376"/>
      <c r="AC131" s="1378"/>
      <c r="AD131" s="1376"/>
      <c r="AE131" s="1378"/>
      <c r="AF131" s="1378"/>
      <c r="AG131" s="1378"/>
      <c r="AH131" s="1380"/>
      <c r="AI131" s="1382"/>
      <c r="AJ131" s="1384"/>
      <c r="AK131" s="1386"/>
      <c r="AL131" s="1364"/>
      <c r="AM131" s="1388"/>
      <c r="AN131" s="1360"/>
      <c r="AO131" s="1390"/>
      <c r="AP131" s="1394"/>
      <c r="AQ131" s="1394"/>
      <c r="AR131" s="1396"/>
      <c r="AS131" s="1348"/>
      <c r="AT131" s="1334" t="str">
        <f t="shared" si="53"/>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1"/>
      <c r="C132" s="1302"/>
      <c r="D132" s="1302"/>
      <c r="E132" s="1302"/>
      <c r="F132" s="1303"/>
      <c r="G132" s="1268"/>
      <c r="H132" s="1268"/>
      <c r="I132" s="1268"/>
      <c r="J132" s="1443"/>
      <c r="K132" s="1268"/>
      <c r="L132" s="1274"/>
      <c r="M132" s="1277"/>
      <c r="N132" s="1400"/>
      <c r="O132" s="1421"/>
      <c r="P132" s="1401" t="s">
        <v>2179</v>
      </c>
      <c r="Q132" s="1403" t="str">
        <f>IFERROR(VLOOKUP('別紙様式2-2（４・５月分）'!AR101,【参考】数式用!$AT$5:$AV$22,3,FALSE),"")</f>
        <v/>
      </c>
      <c r="R132" s="1405" t="s">
        <v>2190</v>
      </c>
      <c r="S132" s="1407" t="str">
        <f>IFERROR(VLOOKUP(K130,【参考】数式用!$A$5:$AB$27,MATCH(Q132,【参考】数式用!$B$4:$AB$4,0)+1,0),"")</f>
        <v/>
      </c>
      <c r="T132" s="1409" t="s">
        <v>217</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5" t="s">
        <v>38</v>
      </c>
      <c r="AI132" s="1367" t="str">
        <f>IFERROR(ROUNDDOWN(ROUND(L130*V132,0)*M130,0)*AG132,"")</f>
        <v/>
      </c>
      <c r="AJ132" s="1369" t="str">
        <f>IFERROR(ROUNDDOWN(ROUND((L130*(V132-AX130)),0)*M130,0)*AG132,"")</f>
        <v/>
      </c>
      <c r="AK132" s="1371">
        <f>IFERROR(IF(OR(N130="",N131="",N133=""),0,ROUNDDOWN(ROUNDDOWN(ROUND(L130*VLOOKUP(K130,【参考】数式用!$A$5:$AB$27,MATCH("新加算Ⅳ",【参考】数式用!$B$4:$AB$4,0)+1,0),0)*M130,0)*AG132*0.5,0)),"")</f>
        <v>0</v>
      </c>
      <c r="AL132" s="1361" t="str">
        <f t="shared" ref="AL132" si="91">IF(U132&lt;&gt;"","新規に適用","")</f>
        <v/>
      </c>
      <c r="AM132" s="1373">
        <f>IFERROR(IF(OR(N133="ベア加算",N133=""),0, IF(OR(U130="新加算Ⅰ",U130="新加算Ⅱ",U130="新加算Ⅲ",U130="新加算Ⅳ"),0,ROUNDDOWN(ROUND(L130*VLOOKUP(K130,【参考】数式用!$A$5:$I$27,MATCH("ベア加算",【参考】数式用!$B$4:$I$4,0)+1,0),0)*M130,0)*AG132)),"")</f>
        <v>0</v>
      </c>
      <c r="AN132" s="1345" t="str">
        <f>IF(AND(U132&lt;&gt;"",AN130=""),"新規に適用",IF(AND(U132&lt;&gt;"",AN130&lt;&gt;""),"継続で適用",""))</f>
        <v/>
      </c>
      <c r="AO132" s="1345" t="str">
        <f>IF(AND(U132&lt;&gt;"",AO130=""),"新規に適用",IF(AND(U132&lt;&gt;"",AO130&lt;&gt;""),"継続で適用",""))</f>
        <v/>
      </c>
      <c r="AP132" s="1391"/>
      <c r="AQ132" s="1345" t="str">
        <f>IF(AND(U132&lt;&gt;"",AQ130=""),"新規に適用",IF(AND(U132&lt;&gt;"",AQ130&lt;&gt;""),"継続で適用",""))</f>
        <v/>
      </c>
      <c r="AR132" s="1349" t="str">
        <f t="shared" si="70"/>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316"/>
      <c r="B133" s="1439"/>
      <c r="C133" s="1440"/>
      <c r="D133" s="1440"/>
      <c r="E133" s="1440"/>
      <c r="F133" s="1441"/>
      <c r="G133" s="1269"/>
      <c r="H133" s="1269"/>
      <c r="I133" s="1269"/>
      <c r="J133" s="1444"/>
      <c r="K133" s="1269"/>
      <c r="L133" s="1275"/>
      <c r="M133" s="1278"/>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66"/>
      <c r="AI133" s="1368"/>
      <c r="AJ133" s="1370"/>
      <c r="AK133" s="1372"/>
      <c r="AL133" s="1362"/>
      <c r="AM133" s="1374"/>
      <c r="AN133" s="1346"/>
      <c r="AO133" s="1346"/>
      <c r="AP133" s="1392"/>
      <c r="AQ133" s="1346"/>
      <c r="AR133" s="1350"/>
      <c r="AS133" s="1346"/>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314">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43" t="str">
        <f>IF(基本情報入力シート!X84="","",基本情報入力シート!X84)</f>
        <v/>
      </c>
      <c r="K134" s="1268" t="str">
        <f>IF(基本情報入力シート!Y84="","",基本情報入力シート!Y84)</f>
        <v/>
      </c>
      <c r="L134" s="1274"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2173</v>
      </c>
      <c r="U134" s="1433"/>
      <c r="V134" s="1435" t="str">
        <f>IFERROR(VLOOKUP(K134,【参考】数式用!$A$5:$AB$27,MATCH(U134,【参考】数式用!$B$4:$AB$4,0)+1,0),"")</f>
        <v/>
      </c>
      <c r="W134" s="1437" t="s">
        <v>19</v>
      </c>
      <c r="X134" s="1375">
        <v>6</v>
      </c>
      <c r="Y134" s="1377" t="s">
        <v>10</v>
      </c>
      <c r="Z134" s="1375">
        <v>6</v>
      </c>
      <c r="AA134" s="1377" t="s">
        <v>45</v>
      </c>
      <c r="AB134" s="1375">
        <v>7</v>
      </c>
      <c r="AC134" s="1377" t="s">
        <v>10</v>
      </c>
      <c r="AD134" s="1375">
        <v>3</v>
      </c>
      <c r="AE134" s="1377" t="s">
        <v>13</v>
      </c>
      <c r="AF134" s="1377" t="s">
        <v>24</v>
      </c>
      <c r="AG134" s="1377">
        <f>IF(X134&gt;=1,(AB134*12+AD134)-(X134*12+Z134)+1,"")</f>
        <v>10</v>
      </c>
      <c r="AH134" s="1379" t="s">
        <v>38</v>
      </c>
      <c r="AI134" s="1381" t="str">
        <f>IFERROR(ROUNDDOWN(ROUND(L134*V134,0)*M134,0)*AG134,"")</f>
        <v/>
      </c>
      <c r="AJ134" s="1383" t="str">
        <f>IFERROR(ROUNDDOWN(ROUND((L134*(V134-AX134)),0)*M134,0)*AG134,"")</f>
        <v/>
      </c>
      <c r="AK134" s="1385">
        <f>IFERROR(IF(OR(N134="",N135="",N137=""),0,ROUNDDOWN(ROUNDDOWN(ROUND(L134*VLOOKUP(K134,【参考】数式用!$A$5:$AB$27,MATCH("新加算Ⅳ",【参考】数式用!$B$4:$AB$4,0)+1,0),0)*M134,0)*AG134*0.5,0)),"")</f>
        <v>0</v>
      </c>
      <c r="AL134" s="1363"/>
      <c r="AM134" s="138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1"/>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2098</v>
      </c>
      <c r="BA134" s="1247" t="s">
        <v>2099</v>
      </c>
      <c r="BB134" s="1247" t="s">
        <v>2100</v>
      </c>
      <c r="BC134" s="1247" t="s">
        <v>2101</v>
      </c>
      <c r="BD134" s="1247" t="str">
        <f>IF(AND(P134&lt;&gt;"新加算Ⅰ",P134&lt;&gt;"新加算Ⅱ",P134&lt;&gt;"新加算Ⅲ",P134&lt;&gt;"新加算Ⅳ"),P134,IF(Q136&lt;&gt;"",Q136,""))</f>
        <v/>
      </c>
      <c r="BE134" s="1247"/>
      <c r="BF134" s="1247" t="str">
        <f t="shared" ref="BF134" si="93">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315"/>
      <c r="B135" s="1301"/>
      <c r="C135" s="1302"/>
      <c r="D135" s="1302"/>
      <c r="E135" s="1302"/>
      <c r="F135" s="1303"/>
      <c r="G135" s="1268"/>
      <c r="H135" s="1268"/>
      <c r="I135" s="1268"/>
      <c r="J135" s="1443"/>
      <c r="K135" s="1268"/>
      <c r="L135" s="1274"/>
      <c r="M135" s="1445"/>
      <c r="N135" s="1399" t="str">
        <f>IF('別紙様式2-2（４・５月分）'!Q105="","",'別紙様式2-2（４・５月分）'!Q105)</f>
        <v/>
      </c>
      <c r="O135" s="1420"/>
      <c r="P135" s="1426"/>
      <c r="Q135" s="1427"/>
      <c r="R135" s="1428"/>
      <c r="S135" s="1430"/>
      <c r="T135" s="1432"/>
      <c r="U135" s="1434"/>
      <c r="V135" s="1436"/>
      <c r="W135" s="1438"/>
      <c r="X135" s="1376"/>
      <c r="Y135" s="1378"/>
      <c r="Z135" s="1376"/>
      <c r="AA135" s="1378"/>
      <c r="AB135" s="1376"/>
      <c r="AC135" s="1378"/>
      <c r="AD135" s="1376"/>
      <c r="AE135" s="1378"/>
      <c r="AF135" s="1378"/>
      <c r="AG135" s="1378"/>
      <c r="AH135" s="1380"/>
      <c r="AI135" s="1382"/>
      <c r="AJ135" s="1384"/>
      <c r="AK135" s="1386"/>
      <c r="AL135" s="1364"/>
      <c r="AM135" s="1388"/>
      <c r="AN135" s="1360"/>
      <c r="AO135" s="1390"/>
      <c r="AP135" s="1394"/>
      <c r="AQ135" s="1394"/>
      <c r="AR135" s="1396"/>
      <c r="AS135" s="1348"/>
      <c r="AT135" s="1334" t="str">
        <f t="shared" si="53"/>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1"/>
      <c r="C136" s="1302"/>
      <c r="D136" s="1302"/>
      <c r="E136" s="1302"/>
      <c r="F136" s="1303"/>
      <c r="G136" s="1268"/>
      <c r="H136" s="1268"/>
      <c r="I136" s="1268"/>
      <c r="J136" s="1443"/>
      <c r="K136" s="1268"/>
      <c r="L136" s="1274"/>
      <c r="M136" s="1445"/>
      <c r="N136" s="1400"/>
      <c r="O136" s="1421"/>
      <c r="P136" s="1401" t="s">
        <v>2179</v>
      </c>
      <c r="Q136" s="1403" t="str">
        <f>IFERROR(VLOOKUP('別紙様式2-2（４・５月分）'!AR104,【参考】数式用!$AT$5:$AV$22,3,FALSE),"")</f>
        <v/>
      </c>
      <c r="R136" s="1405" t="s">
        <v>2190</v>
      </c>
      <c r="S136" s="1447" t="str">
        <f>IFERROR(VLOOKUP(K134,【参考】数式用!$A$5:$AB$27,MATCH(Q136,【参考】数式用!$B$4:$AB$4,0)+1,0),"")</f>
        <v/>
      </c>
      <c r="T136" s="1409" t="s">
        <v>217</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5" t="s">
        <v>38</v>
      </c>
      <c r="AI136" s="1367" t="str">
        <f>IFERROR(ROUNDDOWN(ROUND(L134*V136,0)*M134,0)*AG136,"")</f>
        <v/>
      </c>
      <c r="AJ136" s="1369" t="str">
        <f>IFERROR(ROUNDDOWN(ROUND((L134*(V136-AX134)),0)*M134,0)*AG136,"")</f>
        <v/>
      </c>
      <c r="AK136" s="1371">
        <f>IFERROR(IF(OR(N134="",N135="",N137=""),0,ROUNDDOWN(ROUNDDOWN(ROUND(L134*VLOOKUP(K134,【参考】数式用!$A$5:$AB$27,MATCH("新加算Ⅳ",【参考】数式用!$B$4:$AB$4,0)+1,0),0)*M134,0)*AG136*0.5,0)),"")</f>
        <v>0</v>
      </c>
      <c r="AL136" s="1361" t="str">
        <f t="shared" ref="AL136" si="94">IF(U136&lt;&gt;"","新規に適用","")</f>
        <v/>
      </c>
      <c r="AM136" s="1373">
        <f>IFERROR(IF(OR(N137="ベア加算",N137=""),0, IF(OR(U134="新加算Ⅰ",U134="新加算Ⅱ",U134="新加算Ⅲ",U134="新加算Ⅳ"),0,ROUNDDOWN(ROUND(L134*VLOOKUP(K134,【参考】数式用!$A$5:$I$27,MATCH("ベア加算",【参考】数式用!$B$4:$I$4,0)+1,0),0)*M134,0)*AG136)),"")</f>
        <v>0</v>
      </c>
      <c r="AN136" s="1345" t="str">
        <f>IF(AND(U136&lt;&gt;"",AN134=""),"新規に適用",IF(AND(U136&lt;&gt;"",AN134&lt;&gt;""),"継続で適用",""))</f>
        <v/>
      </c>
      <c r="AO136" s="1345" t="str">
        <f>IF(AND(U136&lt;&gt;"",AO134=""),"新規に適用",IF(AND(U136&lt;&gt;"",AO134&lt;&gt;""),"継続で適用",""))</f>
        <v/>
      </c>
      <c r="AP136" s="1391"/>
      <c r="AQ136" s="1345" t="str">
        <f>IF(AND(U136&lt;&gt;"",AQ134=""),"新規に適用",IF(AND(U136&lt;&gt;"",AQ134&lt;&gt;""),"継続で適用",""))</f>
        <v/>
      </c>
      <c r="AR136" s="1349" t="str">
        <f t="shared" si="70"/>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316"/>
      <c r="B137" s="1439"/>
      <c r="C137" s="1440"/>
      <c r="D137" s="1440"/>
      <c r="E137" s="1440"/>
      <c r="F137" s="1441"/>
      <c r="G137" s="1269"/>
      <c r="H137" s="1269"/>
      <c r="I137" s="1269"/>
      <c r="J137" s="1444"/>
      <c r="K137" s="1269"/>
      <c r="L137" s="1275"/>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66"/>
      <c r="AI137" s="1368"/>
      <c r="AJ137" s="1370"/>
      <c r="AK137" s="1372"/>
      <c r="AL137" s="1362"/>
      <c r="AM137" s="1374"/>
      <c r="AN137" s="1346"/>
      <c r="AO137" s="1346"/>
      <c r="AP137" s="1392"/>
      <c r="AQ137" s="1346"/>
      <c r="AR137" s="1350"/>
      <c r="AS137" s="1346"/>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4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2173</v>
      </c>
      <c r="U138" s="1433"/>
      <c r="V138" s="1435" t="str">
        <f>IFERROR(VLOOKUP(K138,【参考】数式用!$A$5:$AB$27,MATCH(U138,【参考】数式用!$B$4:$AB$4,0)+1,0),"")</f>
        <v/>
      </c>
      <c r="W138" s="1437" t="s">
        <v>19</v>
      </c>
      <c r="X138" s="1375">
        <v>6</v>
      </c>
      <c r="Y138" s="1377" t="s">
        <v>10</v>
      </c>
      <c r="Z138" s="1375">
        <v>6</v>
      </c>
      <c r="AA138" s="1377" t="s">
        <v>45</v>
      </c>
      <c r="AB138" s="1375">
        <v>7</v>
      </c>
      <c r="AC138" s="1377" t="s">
        <v>10</v>
      </c>
      <c r="AD138" s="1375">
        <v>3</v>
      </c>
      <c r="AE138" s="1377" t="s">
        <v>13</v>
      </c>
      <c r="AF138" s="1377" t="s">
        <v>24</v>
      </c>
      <c r="AG138" s="1377">
        <f>IF(X138&gt;=1,(AB138*12+AD138)-(X138*12+Z138)+1,"")</f>
        <v>10</v>
      </c>
      <c r="AH138" s="1379" t="s">
        <v>38</v>
      </c>
      <c r="AI138" s="1381" t="str">
        <f>IFERROR(ROUNDDOWN(ROUND(L138*V138,0)*M138,0)*AG138,"")</f>
        <v/>
      </c>
      <c r="AJ138" s="1383" t="str">
        <f>IFERROR(ROUNDDOWN(ROUND((L138*(V138-AX138)),0)*M138,0)*AG138,"")</f>
        <v/>
      </c>
      <c r="AK138" s="1385">
        <f>IFERROR(IF(OR(N138="",N139="",N141=""),0,ROUNDDOWN(ROUNDDOWN(ROUND(L138*VLOOKUP(K138,【参考】数式用!$A$5:$AB$27,MATCH("新加算Ⅳ",【参考】数式用!$B$4:$AB$4,0)+1,0),0)*M138,0)*AG138*0.5,0)),"")</f>
        <v>0</v>
      </c>
      <c r="AL138" s="1363"/>
      <c r="AM138" s="138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1"/>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2098</v>
      </c>
      <c r="BA138" s="1247" t="s">
        <v>2099</v>
      </c>
      <c r="BB138" s="1247" t="s">
        <v>2100</v>
      </c>
      <c r="BC138" s="1247" t="s">
        <v>2101</v>
      </c>
      <c r="BD138" s="1247" t="str">
        <f>IF(AND(P138&lt;&gt;"新加算Ⅰ",P138&lt;&gt;"新加算Ⅱ",P138&lt;&gt;"新加算Ⅲ",P138&lt;&gt;"新加算Ⅳ"),P138,IF(Q140&lt;&gt;"",Q140,""))</f>
        <v/>
      </c>
      <c r="BE138" s="1247"/>
      <c r="BF138" s="1247" t="str">
        <f t="shared" ref="BF138" si="96">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315"/>
      <c r="B139" s="1301"/>
      <c r="C139" s="1302"/>
      <c r="D139" s="1302"/>
      <c r="E139" s="1302"/>
      <c r="F139" s="1303"/>
      <c r="G139" s="1268"/>
      <c r="H139" s="1268"/>
      <c r="I139" s="1268"/>
      <c r="J139" s="1443"/>
      <c r="K139" s="1268"/>
      <c r="L139" s="1274"/>
      <c r="M139" s="1277"/>
      <c r="N139" s="1399" t="str">
        <f>IF('別紙様式2-2（４・５月分）'!Q108="","",'別紙様式2-2（４・５月分）'!Q108)</f>
        <v/>
      </c>
      <c r="O139" s="1420"/>
      <c r="P139" s="1426"/>
      <c r="Q139" s="1427"/>
      <c r="R139" s="1428"/>
      <c r="S139" s="1430"/>
      <c r="T139" s="1432"/>
      <c r="U139" s="1434"/>
      <c r="V139" s="1436"/>
      <c r="W139" s="1438"/>
      <c r="X139" s="1376"/>
      <c r="Y139" s="1378"/>
      <c r="Z139" s="1376"/>
      <c r="AA139" s="1378"/>
      <c r="AB139" s="1376"/>
      <c r="AC139" s="1378"/>
      <c r="AD139" s="1376"/>
      <c r="AE139" s="1378"/>
      <c r="AF139" s="1378"/>
      <c r="AG139" s="1378"/>
      <c r="AH139" s="1380"/>
      <c r="AI139" s="1382"/>
      <c r="AJ139" s="1384"/>
      <c r="AK139" s="1386"/>
      <c r="AL139" s="1364"/>
      <c r="AM139" s="1388"/>
      <c r="AN139" s="1360"/>
      <c r="AO139" s="1390"/>
      <c r="AP139" s="1394"/>
      <c r="AQ139" s="1394"/>
      <c r="AR139" s="1396"/>
      <c r="AS139" s="1348"/>
      <c r="AT139" s="1334" t="str">
        <f t="shared" si="53"/>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1"/>
      <c r="C140" s="1302"/>
      <c r="D140" s="1302"/>
      <c r="E140" s="1302"/>
      <c r="F140" s="1303"/>
      <c r="G140" s="1268"/>
      <c r="H140" s="1268"/>
      <c r="I140" s="1268"/>
      <c r="J140" s="1443"/>
      <c r="K140" s="1268"/>
      <c r="L140" s="1274"/>
      <c r="M140" s="1277"/>
      <c r="N140" s="1400"/>
      <c r="O140" s="1421"/>
      <c r="P140" s="1401" t="s">
        <v>2179</v>
      </c>
      <c r="Q140" s="1403" t="str">
        <f>IFERROR(VLOOKUP('別紙様式2-2（４・５月分）'!AR107,【参考】数式用!$AT$5:$AV$22,3,FALSE),"")</f>
        <v/>
      </c>
      <c r="R140" s="1405" t="s">
        <v>2190</v>
      </c>
      <c r="S140" s="1407" t="str">
        <f>IFERROR(VLOOKUP(K138,【参考】数式用!$A$5:$AB$27,MATCH(Q140,【参考】数式用!$B$4:$AB$4,0)+1,0),"")</f>
        <v/>
      </c>
      <c r="T140" s="1409" t="s">
        <v>217</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5" t="s">
        <v>38</v>
      </c>
      <c r="AI140" s="1367" t="str">
        <f>IFERROR(ROUNDDOWN(ROUND(L138*V140,0)*M138,0)*AG140,"")</f>
        <v/>
      </c>
      <c r="AJ140" s="1369" t="str">
        <f>IFERROR(ROUNDDOWN(ROUND((L138*(V140-AX138)),0)*M138,0)*AG140,"")</f>
        <v/>
      </c>
      <c r="AK140" s="1371">
        <f>IFERROR(IF(OR(N138="",N139="",N141=""),0,ROUNDDOWN(ROUNDDOWN(ROUND(L138*VLOOKUP(K138,【参考】数式用!$A$5:$AB$27,MATCH("新加算Ⅳ",【参考】数式用!$B$4:$AB$4,0)+1,0),0)*M138,0)*AG140*0.5,0)),"")</f>
        <v>0</v>
      </c>
      <c r="AL140" s="1361" t="str">
        <f t="shared" ref="AL140" si="97">IF(U140&lt;&gt;"","新規に適用","")</f>
        <v/>
      </c>
      <c r="AM140" s="1373">
        <f>IFERROR(IF(OR(N141="ベア加算",N141=""),0, IF(OR(U138="新加算Ⅰ",U138="新加算Ⅱ",U138="新加算Ⅲ",U138="新加算Ⅳ"),0,ROUNDDOWN(ROUND(L138*VLOOKUP(K138,【参考】数式用!$A$5:$I$27,MATCH("ベア加算",【参考】数式用!$B$4:$I$4,0)+1,0),0)*M138,0)*AG140)),"")</f>
        <v>0</v>
      </c>
      <c r="AN140" s="1345" t="str">
        <f>IF(AND(U140&lt;&gt;"",AN138=""),"新規に適用",IF(AND(U140&lt;&gt;"",AN138&lt;&gt;""),"継続で適用",""))</f>
        <v/>
      </c>
      <c r="AO140" s="1345" t="str">
        <f>IF(AND(U140&lt;&gt;"",AO138=""),"新規に適用",IF(AND(U140&lt;&gt;"",AO138&lt;&gt;""),"継続で適用",""))</f>
        <v/>
      </c>
      <c r="AP140" s="1391"/>
      <c r="AQ140" s="1345" t="str">
        <f>IF(AND(U140&lt;&gt;"",AQ138=""),"新規に適用",IF(AND(U140&lt;&gt;"",AQ138&lt;&gt;""),"継続で適用",""))</f>
        <v/>
      </c>
      <c r="AR140" s="1349" t="str">
        <f t="shared" si="70"/>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316"/>
      <c r="B141" s="1439"/>
      <c r="C141" s="1440"/>
      <c r="D141" s="1440"/>
      <c r="E141" s="1440"/>
      <c r="F141" s="1441"/>
      <c r="G141" s="1269"/>
      <c r="H141" s="1269"/>
      <c r="I141" s="1269"/>
      <c r="J141" s="1444"/>
      <c r="K141" s="1269"/>
      <c r="L141" s="1275"/>
      <c r="M141" s="1278"/>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66"/>
      <c r="AI141" s="1368"/>
      <c r="AJ141" s="1370"/>
      <c r="AK141" s="1372"/>
      <c r="AL141" s="1362"/>
      <c r="AM141" s="1374"/>
      <c r="AN141" s="1346"/>
      <c r="AO141" s="1346"/>
      <c r="AP141" s="1392"/>
      <c r="AQ141" s="1346"/>
      <c r="AR141" s="1350"/>
      <c r="AS141" s="1346"/>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314">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43" t="str">
        <f>IF(基本情報入力シート!X86="","",基本情報入力シート!X86)</f>
        <v/>
      </c>
      <c r="K142" s="1268" t="str">
        <f>IF(基本情報入力シート!Y86="","",基本情報入力シート!Y86)</f>
        <v/>
      </c>
      <c r="L142" s="1274"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2173</v>
      </c>
      <c r="U142" s="1433"/>
      <c r="V142" s="1435" t="str">
        <f>IFERROR(VLOOKUP(K142,【参考】数式用!$A$5:$AB$27,MATCH(U142,【参考】数式用!$B$4:$AB$4,0)+1,0),"")</f>
        <v/>
      </c>
      <c r="W142" s="1437" t="s">
        <v>19</v>
      </c>
      <c r="X142" s="1375">
        <v>6</v>
      </c>
      <c r="Y142" s="1377" t="s">
        <v>10</v>
      </c>
      <c r="Z142" s="1375">
        <v>6</v>
      </c>
      <c r="AA142" s="1377" t="s">
        <v>45</v>
      </c>
      <c r="AB142" s="1375">
        <v>7</v>
      </c>
      <c r="AC142" s="1377" t="s">
        <v>10</v>
      </c>
      <c r="AD142" s="1375">
        <v>3</v>
      </c>
      <c r="AE142" s="1377" t="s">
        <v>13</v>
      </c>
      <c r="AF142" s="1377" t="s">
        <v>24</v>
      </c>
      <c r="AG142" s="1377">
        <f>IF(X142&gt;=1,(AB142*12+AD142)-(X142*12+Z142)+1,"")</f>
        <v>10</v>
      </c>
      <c r="AH142" s="1379" t="s">
        <v>38</v>
      </c>
      <c r="AI142" s="1381" t="str">
        <f>IFERROR(ROUNDDOWN(ROUND(L142*V142,0)*M142,0)*AG142,"")</f>
        <v/>
      </c>
      <c r="AJ142" s="1383" t="str">
        <f>IFERROR(ROUNDDOWN(ROUND((L142*(V142-AX142)),0)*M142,0)*AG142,"")</f>
        <v/>
      </c>
      <c r="AK142" s="1385">
        <f>IFERROR(IF(OR(N142="",N143="",N145=""),0,ROUNDDOWN(ROUNDDOWN(ROUND(L142*VLOOKUP(K142,【参考】数式用!$A$5:$AB$27,MATCH("新加算Ⅳ",【参考】数式用!$B$4:$AB$4,0)+1,0),0)*M142,0)*AG142*0.5,0)),"")</f>
        <v>0</v>
      </c>
      <c r="AL142" s="1363"/>
      <c r="AM142" s="138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1"/>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2098</v>
      </c>
      <c r="BA142" s="1247" t="s">
        <v>2099</v>
      </c>
      <c r="BB142" s="1247" t="s">
        <v>2100</v>
      </c>
      <c r="BC142" s="1247" t="s">
        <v>2101</v>
      </c>
      <c r="BD142" s="1247" t="str">
        <f>IF(AND(P142&lt;&gt;"新加算Ⅰ",P142&lt;&gt;"新加算Ⅱ",P142&lt;&gt;"新加算Ⅲ",P142&lt;&gt;"新加算Ⅳ"),P142,IF(Q144&lt;&gt;"",Q144,""))</f>
        <v/>
      </c>
      <c r="BE142" s="1247"/>
      <c r="BF142" s="1247" t="str">
        <f t="shared" ref="BF142" si="99">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315"/>
      <c r="B143" s="1301"/>
      <c r="C143" s="1302"/>
      <c r="D143" s="1302"/>
      <c r="E143" s="1302"/>
      <c r="F143" s="1303"/>
      <c r="G143" s="1268"/>
      <c r="H143" s="1268"/>
      <c r="I143" s="1268"/>
      <c r="J143" s="1443"/>
      <c r="K143" s="1268"/>
      <c r="L143" s="1274"/>
      <c r="M143" s="1445"/>
      <c r="N143" s="1399" t="str">
        <f>IF('別紙様式2-2（４・５月分）'!Q111="","",'別紙様式2-2（４・５月分）'!Q111)</f>
        <v/>
      </c>
      <c r="O143" s="1420"/>
      <c r="P143" s="1426"/>
      <c r="Q143" s="1427"/>
      <c r="R143" s="1428"/>
      <c r="S143" s="1430"/>
      <c r="T143" s="1432"/>
      <c r="U143" s="1434"/>
      <c r="V143" s="1436"/>
      <c r="W143" s="1438"/>
      <c r="X143" s="1376"/>
      <c r="Y143" s="1378"/>
      <c r="Z143" s="1376"/>
      <c r="AA143" s="1378"/>
      <c r="AB143" s="1376"/>
      <c r="AC143" s="1378"/>
      <c r="AD143" s="1376"/>
      <c r="AE143" s="1378"/>
      <c r="AF143" s="1378"/>
      <c r="AG143" s="1378"/>
      <c r="AH143" s="1380"/>
      <c r="AI143" s="1382"/>
      <c r="AJ143" s="1384"/>
      <c r="AK143" s="1386"/>
      <c r="AL143" s="1364"/>
      <c r="AM143" s="1388"/>
      <c r="AN143" s="1360"/>
      <c r="AO143" s="1390"/>
      <c r="AP143" s="1394"/>
      <c r="AQ143" s="1394"/>
      <c r="AR143" s="1396"/>
      <c r="AS143" s="1348"/>
      <c r="AT143" s="1334" t="str">
        <f t="shared" si="53"/>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1"/>
      <c r="C144" s="1302"/>
      <c r="D144" s="1302"/>
      <c r="E144" s="1302"/>
      <c r="F144" s="1303"/>
      <c r="G144" s="1268"/>
      <c r="H144" s="1268"/>
      <c r="I144" s="1268"/>
      <c r="J144" s="1443"/>
      <c r="K144" s="1268"/>
      <c r="L144" s="1274"/>
      <c r="M144" s="1445"/>
      <c r="N144" s="1400"/>
      <c r="O144" s="1421"/>
      <c r="P144" s="1401" t="s">
        <v>2179</v>
      </c>
      <c r="Q144" s="1403" t="str">
        <f>IFERROR(VLOOKUP('別紙様式2-2（４・５月分）'!AR110,【参考】数式用!$AT$5:$AV$22,3,FALSE),"")</f>
        <v/>
      </c>
      <c r="R144" s="1405" t="s">
        <v>2190</v>
      </c>
      <c r="S144" s="1447" t="str">
        <f>IFERROR(VLOOKUP(K142,【参考】数式用!$A$5:$AB$27,MATCH(Q144,【参考】数式用!$B$4:$AB$4,0)+1,0),"")</f>
        <v/>
      </c>
      <c r="T144" s="1409" t="s">
        <v>217</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5" t="s">
        <v>38</v>
      </c>
      <c r="AI144" s="1367" t="str">
        <f>IFERROR(ROUNDDOWN(ROUND(L142*V144,0)*M142,0)*AG144,"")</f>
        <v/>
      </c>
      <c r="AJ144" s="1369" t="str">
        <f>IFERROR(ROUNDDOWN(ROUND((L142*(V144-AX142)),0)*M142,0)*AG144,"")</f>
        <v/>
      </c>
      <c r="AK144" s="1371">
        <f>IFERROR(IF(OR(N142="",N143="",N145=""),0,ROUNDDOWN(ROUNDDOWN(ROUND(L142*VLOOKUP(K142,【参考】数式用!$A$5:$AB$27,MATCH("新加算Ⅳ",【参考】数式用!$B$4:$AB$4,0)+1,0),0)*M142,0)*AG144*0.5,0)),"")</f>
        <v>0</v>
      </c>
      <c r="AL144" s="1361" t="str">
        <f t="shared" ref="AL144" si="100">IF(U144&lt;&gt;"","新規に適用","")</f>
        <v/>
      </c>
      <c r="AM144" s="1373">
        <f>IFERROR(IF(OR(N145="ベア加算",N145=""),0, IF(OR(U142="新加算Ⅰ",U142="新加算Ⅱ",U142="新加算Ⅲ",U142="新加算Ⅳ"),0,ROUNDDOWN(ROUND(L142*VLOOKUP(K142,【参考】数式用!$A$5:$I$27,MATCH("ベア加算",【参考】数式用!$B$4:$I$4,0)+1,0),0)*M142,0)*AG144)),"")</f>
        <v>0</v>
      </c>
      <c r="AN144" s="1345" t="str">
        <f>IF(AND(U144&lt;&gt;"",AN142=""),"新規に適用",IF(AND(U144&lt;&gt;"",AN142&lt;&gt;""),"継続で適用",""))</f>
        <v/>
      </c>
      <c r="AO144" s="1345" t="str">
        <f>IF(AND(U144&lt;&gt;"",AO142=""),"新規に適用",IF(AND(U144&lt;&gt;"",AO142&lt;&gt;""),"継続で適用",""))</f>
        <v/>
      </c>
      <c r="AP144" s="1391"/>
      <c r="AQ144" s="1345" t="str">
        <f>IF(AND(U144&lt;&gt;"",AQ142=""),"新規に適用",IF(AND(U144&lt;&gt;"",AQ142&lt;&gt;""),"継続で適用",""))</f>
        <v/>
      </c>
      <c r="AR144" s="1349" t="str">
        <f t="shared" si="70"/>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316"/>
      <c r="B145" s="1439"/>
      <c r="C145" s="1440"/>
      <c r="D145" s="1440"/>
      <c r="E145" s="1440"/>
      <c r="F145" s="1441"/>
      <c r="G145" s="1269"/>
      <c r="H145" s="1269"/>
      <c r="I145" s="1269"/>
      <c r="J145" s="1444"/>
      <c r="K145" s="1269"/>
      <c r="L145" s="1275"/>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66"/>
      <c r="AI145" s="1368"/>
      <c r="AJ145" s="1370"/>
      <c r="AK145" s="1372"/>
      <c r="AL145" s="1362"/>
      <c r="AM145" s="1374"/>
      <c r="AN145" s="1346"/>
      <c r="AO145" s="1346"/>
      <c r="AP145" s="1392"/>
      <c r="AQ145" s="1346"/>
      <c r="AR145" s="1350"/>
      <c r="AS145" s="1346"/>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4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2173</v>
      </c>
      <c r="U146" s="1433"/>
      <c r="V146" s="1435" t="str">
        <f>IFERROR(VLOOKUP(K146,【参考】数式用!$A$5:$AB$27,MATCH(U146,【参考】数式用!$B$4:$AB$4,0)+1,0),"")</f>
        <v/>
      </c>
      <c r="W146" s="1437" t="s">
        <v>19</v>
      </c>
      <c r="X146" s="1375">
        <v>6</v>
      </c>
      <c r="Y146" s="1377" t="s">
        <v>10</v>
      </c>
      <c r="Z146" s="1375">
        <v>6</v>
      </c>
      <c r="AA146" s="1377" t="s">
        <v>45</v>
      </c>
      <c r="AB146" s="1375">
        <v>7</v>
      </c>
      <c r="AC146" s="1377" t="s">
        <v>10</v>
      </c>
      <c r="AD146" s="1375">
        <v>3</v>
      </c>
      <c r="AE146" s="1377" t="s">
        <v>13</v>
      </c>
      <c r="AF146" s="1377" t="s">
        <v>24</v>
      </c>
      <c r="AG146" s="1377">
        <f>IF(X146&gt;=1,(AB146*12+AD146)-(X146*12+Z146)+1,"")</f>
        <v>10</v>
      </c>
      <c r="AH146" s="1379" t="s">
        <v>38</v>
      </c>
      <c r="AI146" s="1381" t="str">
        <f>IFERROR(ROUNDDOWN(ROUND(L146*V146,0)*M146,0)*AG146,"")</f>
        <v/>
      </c>
      <c r="AJ146" s="1383" t="str">
        <f>IFERROR(ROUNDDOWN(ROUND((L146*(V146-AX146)),0)*M146,0)*AG146,"")</f>
        <v/>
      </c>
      <c r="AK146" s="1385">
        <f>IFERROR(IF(OR(N146="",N147="",N149=""),0,ROUNDDOWN(ROUNDDOWN(ROUND(L146*VLOOKUP(K146,【参考】数式用!$A$5:$AB$27,MATCH("新加算Ⅳ",【参考】数式用!$B$4:$AB$4,0)+1,0),0)*M146,0)*AG146*0.5,0)),"")</f>
        <v>0</v>
      </c>
      <c r="AL146" s="1363"/>
      <c r="AM146" s="138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2">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2098</v>
      </c>
      <c r="BA146" s="1247" t="s">
        <v>2099</v>
      </c>
      <c r="BB146" s="1247" t="s">
        <v>2100</v>
      </c>
      <c r="BC146" s="1247" t="s">
        <v>2101</v>
      </c>
      <c r="BD146" s="1247" t="str">
        <f>IF(AND(P146&lt;&gt;"新加算Ⅰ",P146&lt;&gt;"新加算Ⅱ",P146&lt;&gt;"新加算Ⅲ",P146&lt;&gt;"新加算Ⅳ"),P146,IF(Q148&lt;&gt;"",Q148,""))</f>
        <v/>
      </c>
      <c r="BE146" s="1247"/>
      <c r="BF146" s="1247" t="str">
        <f t="shared" ref="BF146" si="103">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315"/>
      <c r="B147" s="1301"/>
      <c r="C147" s="1302"/>
      <c r="D147" s="1302"/>
      <c r="E147" s="1302"/>
      <c r="F147" s="1303"/>
      <c r="G147" s="1268"/>
      <c r="H147" s="1268"/>
      <c r="I147" s="1268"/>
      <c r="J147" s="1443"/>
      <c r="K147" s="1268"/>
      <c r="L147" s="1274"/>
      <c r="M147" s="1277"/>
      <c r="N147" s="1399" t="str">
        <f>IF('別紙様式2-2（４・５月分）'!Q114="","",'別紙様式2-2（４・５月分）'!Q114)</f>
        <v/>
      </c>
      <c r="O147" s="1420"/>
      <c r="P147" s="1426"/>
      <c r="Q147" s="1427"/>
      <c r="R147" s="1428"/>
      <c r="S147" s="1430"/>
      <c r="T147" s="1432"/>
      <c r="U147" s="1434"/>
      <c r="V147" s="1436"/>
      <c r="W147" s="1438"/>
      <c r="X147" s="1376"/>
      <c r="Y147" s="1378"/>
      <c r="Z147" s="1376"/>
      <c r="AA147" s="1378"/>
      <c r="AB147" s="1376"/>
      <c r="AC147" s="1378"/>
      <c r="AD147" s="1376"/>
      <c r="AE147" s="1378"/>
      <c r="AF147" s="1378"/>
      <c r="AG147" s="1378"/>
      <c r="AH147" s="1380"/>
      <c r="AI147" s="1382"/>
      <c r="AJ147" s="1384"/>
      <c r="AK147" s="1386"/>
      <c r="AL147" s="1364"/>
      <c r="AM147" s="1388"/>
      <c r="AN147" s="1360"/>
      <c r="AO147" s="1390"/>
      <c r="AP147" s="1394"/>
      <c r="AQ147" s="1394"/>
      <c r="AR147" s="1396"/>
      <c r="AS147" s="1348"/>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1"/>
      <c r="C148" s="1302"/>
      <c r="D148" s="1302"/>
      <c r="E148" s="1302"/>
      <c r="F148" s="1303"/>
      <c r="G148" s="1268"/>
      <c r="H148" s="1268"/>
      <c r="I148" s="1268"/>
      <c r="J148" s="1443"/>
      <c r="K148" s="1268"/>
      <c r="L148" s="1274"/>
      <c r="M148" s="1277"/>
      <c r="N148" s="1400"/>
      <c r="O148" s="1421"/>
      <c r="P148" s="1401" t="s">
        <v>2179</v>
      </c>
      <c r="Q148" s="1403" t="str">
        <f>IFERROR(VLOOKUP('別紙様式2-2（４・５月分）'!AR113,【参考】数式用!$AT$5:$AV$22,3,FALSE),"")</f>
        <v/>
      </c>
      <c r="R148" s="1405" t="s">
        <v>2190</v>
      </c>
      <c r="S148" s="1407" t="str">
        <f>IFERROR(VLOOKUP(K146,【参考】数式用!$A$5:$AB$27,MATCH(Q148,【参考】数式用!$B$4:$AB$4,0)+1,0),"")</f>
        <v/>
      </c>
      <c r="T148" s="1409" t="s">
        <v>217</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5" t="s">
        <v>38</v>
      </c>
      <c r="AI148" s="1367" t="str">
        <f>IFERROR(ROUNDDOWN(ROUND(L146*V148,0)*M146,0)*AG148,"")</f>
        <v/>
      </c>
      <c r="AJ148" s="1369" t="str">
        <f>IFERROR(ROUNDDOWN(ROUND((L146*(V148-AX146)),0)*M146,0)*AG148,"")</f>
        <v/>
      </c>
      <c r="AK148" s="1371">
        <f>IFERROR(IF(OR(N146="",N147="",N149=""),0,ROUNDDOWN(ROUNDDOWN(ROUND(L146*VLOOKUP(K146,【参考】数式用!$A$5:$AB$27,MATCH("新加算Ⅳ",【参考】数式用!$B$4:$AB$4,0)+1,0),0)*M146,0)*AG148*0.5,0)),"")</f>
        <v>0</v>
      </c>
      <c r="AL148" s="1361" t="str">
        <f t="shared" ref="AL148" si="105">IF(U148&lt;&gt;"","新規に適用","")</f>
        <v/>
      </c>
      <c r="AM148" s="1373">
        <f>IFERROR(IF(OR(N149="ベア加算",N149=""),0, IF(OR(U146="新加算Ⅰ",U146="新加算Ⅱ",U146="新加算Ⅲ",U146="新加算Ⅳ"),0,ROUNDDOWN(ROUND(L146*VLOOKUP(K146,【参考】数式用!$A$5:$I$27,MATCH("ベア加算",【参考】数式用!$B$4:$I$4,0)+1,0),0)*M146,0)*AG148)),"")</f>
        <v>0</v>
      </c>
      <c r="AN148" s="1345" t="str">
        <f>IF(AND(U148&lt;&gt;"",AN146=""),"新規に適用",IF(AND(U148&lt;&gt;"",AN146&lt;&gt;""),"継続で適用",""))</f>
        <v/>
      </c>
      <c r="AO148" s="1345" t="str">
        <f>IF(AND(U148&lt;&gt;"",AO146=""),"新規に適用",IF(AND(U148&lt;&gt;"",AO146&lt;&gt;""),"継続で適用",""))</f>
        <v/>
      </c>
      <c r="AP148" s="1391"/>
      <c r="AQ148" s="1345" t="str">
        <f>IF(AND(U148&lt;&gt;"",AQ146=""),"新規に適用",IF(AND(U148&lt;&gt;"",AQ146&lt;&gt;""),"継続で適用",""))</f>
        <v/>
      </c>
      <c r="AR148" s="1349" t="str">
        <f t="shared" si="70"/>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316"/>
      <c r="B149" s="1439"/>
      <c r="C149" s="1440"/>
      <c r="D149" s="1440"/>
      <c r="E149" s="1440"/>
      <c r="F149" s="1441"/>
      <c r="G149" s="1269"/>
      <c r="H149" s="1269"/>
      <c r="I149" s="1269"/>
      <c r="J149" s="1444"/>
      <c r="K149" s="1269"/>
      <c r="L149" s="1275"/>
      <c r="M149" s="1278"/>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66"/>
      <c r="AI149" s="1368"/>
      <c r="AJ149" s="1370"/>
      <c r="AK149" s="1372"/>
      <c r="AL149" s="1362"/>
      <c r="AM149" s="1374"/>
      <c r="AN149" s="1346"/>
      <c r="AO149" s="1346"/>
      <c r="AP149" s="1392"/>
      <c r="AQ149" s="1346"/>
      <c r="AR149" s="1350"/>
      <c r="AS149" s="1346"/>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314">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43" t="str">
        <f>IF(基本情報入力シート!X88="","",基本情報入力シート!X88)</f>
        <v/>
      </c>
      <c r="K150" s="1268" t="str">
        <f>IF(基本情報入力シート!Y88="","",基本情報入力シート!Y88)</f>
        <v/>
      </c>
      <c r="L150" s="1274"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2173</v>
      </c>
      <c r="U150" s="1433"/>
      <c r="V150" s="1435" t="str">
        <f>IFERROR(VLOOKUP(K150,【参考】数式用!$A$5:$AB$27,MATCH(U150,【参考】数式用!$B$4:$AB$4,0)+1,0),"")</f>
        <v/>
      </c>
      <c r="W150" s="1437" t="s">
        <v>19</v>
      </c>
      <c r="X150" s="1375">
        <v>6</v>
      </c>
      <c r="Y150" s="1377" t="s">
        <v>10</v>
      </c>
      <c r="Z150" s="1375">
        <v>6</v>
      </c>
      <c r="AA150" s="1377" t="s">
        <v>45</v>
      </c>
      <c r="AB150" s="1375">
        <v>7</v>
      </c>
      <c r="AC150" s="1377" t="s">
        <v>10</v>
      </c>
      <c r="AD150" s="1375">
        <v>3</v>
      </c>
      <c r="AE150" s="1377" t="s">
        <v>13</v>
      </c>
      <c r="AF150" s="1377" t="s">
        <v>24</v>
      </c>
      <c r="AG150" s="1377">
        <f>IF(X150&gt;=1,(AB150*12+AD150)-(X150*12+Z150)+1,"")</f>
        <v>10</v>
      </c>
      <c r="AH150" s="1379" t="s">
        <v>38</v>
      </c>
      <c r="AI150" s="1381" t="str">
        <f>IFERROR(ROUNDDOWN(ROUND(L150*V150,0)*M150,0)*AG150,"")</f>
        <v/>
      </c>
      <c r="AJ150" s="1383" t="str">
        <f>IFERROR(ROUNDDOWN(ROUND((L150*(V150-AX150)),0)*M150,0)*AG150,"")</f>
        <v/>
      </c>
      <c r="AK150" s="1385">
        <f>IFERROR(IF(OR(N150="",N151="",N153=""),0,ROUNDDOWN(ROUNDDOWN(ROUND(L150*VLOOKUP(K150,【参考】数式用!$A$5:$AB$27,MATCH("新加算Ⅳ",【参考】数式用!$B$4:$AB$4,0)+1,0),0)*M150,0)*AG150*0.5,0)),"")</f>
        <v>0</v>
      </c>
      <c r="AL150" s="1363"/>
      <c r="AM150" s="138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2"/>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2098</v>
      </c>
      <c r="BA150" s="1247" t="s">
        <v>2099</v>
      </c>
      <c r="BB150" s="1247" t="s">
        <v>2100</v>
      </c>
      <c r="BC150" s="1247" t="s">
        <v>2101</v>
      </c>
      <c r="BD150" s="1247" t="str">
        <f>IF(AND(P150&lt;&gt;"新加算Ⅰ",P150&lt;&gt;"新加算Ⅱ",P150&lt;&gt;"新加算Ⅲ",P150&lt;&gt;"新加算Ⅳ"),P150,IF(Q152&lt;&gt;"",Q152,""))</f>
        <v/>
      </c>
      <c r="BE150" s="1247"/>
      <c r="BF150" s="1247" t="str">
        <f t="shared" ref="BF150" si="107">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315"/>
      <c r="B151" s="1301"/>
      <c r="C151" s="1302"/>
      <c r="D151" s="1302"/>
      <c r="E151" s="1302"/>
      <c r="F151" s="1303"/>
      <c r="G151" s="1268"/>
      <c r="H151" s="1268"/>
      <c r="I151" s="1268"/>
      <c r="J151" s="1443"/>
      <c r="K151" s="1268"/>
      <c r="L151" s="1274"/>
      <c r="M151" s="1445"/>
      <c r="N151" s="1399" t="str">
        <f>IF('別紙様式2-2（４・５月分）'!Q117="","",'別紙様式2-2（４・５月分）'!Q117)</f>
        <v/>
      </c>
      <c r="O151" s="1420"/>
      <c r="P151" s="1426"/>
      <c r="Q151" s="1427"/>
      <c r="R151" s="1428"/>
      <c r="S151" s="1430"/>
      <c r="T151" s="1432"/>
      <c r="U151" s="1434"/>
      <c r="V151" s="1436"/>
      <c r="W151" s="1438"/>
      <c r="X151" s="1376"/>
      <c r="Y151" s="1378"/>
      <c r="Z151" s="1376"/>
      <c r="AA151" s="1378"/>
      <c r="AB151" s="1376"/>
      <c r="AC151" s="1378"/>
      <c r="AD151" s="1376"/>
      <c r="AE151" s="1378"/>
      <c r="AF151" s="1378"/>
      <c r="AG151" s="1378"/>
      <c r="AH151" s="1380"/>
      <c r="AI151" s="1382"/>
      <c r="AJ151" s="1384"/>
      <c r="AK151" s="1386"/>
      <c r="AL151" s="1364"/>
      <c r="AM151" s="1388"/>
      <c r="AN151" s="1360"/>
      <c r="AO151" s="1390"/>
      <c r="AP151" s="1394"/>
      <c r="AQ151" s="1394"/>
      <c r="AR151" s="1396"/>
      <c r="AS151" s="1348"/>
      <c r="AT151" s="1334" t="str">
        <f t="shared" si="104"/>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1"/>
      <c r="C152" s="1302"/>
      <c r="D152" s="1302"/>
      <c r="E152" s="1302"/>
      <c r="F152" s="1303"/>
      <c r="G152" s="1268"/>
      <c r="H152" s="1268"/>
      <c r="I152" s="1268"/>
      <c r="J152" s="1443"/>
      <c r="K152" s="1268"/>
      <c r="L152" s="1274"/>
      <c r="M152" s="1445"/>
      <c r="N152" s="1400"/>
      <c r="O152" s="1421"/>
      <c r="P152" s="1401" t="s">
        <v>2179</v>
      </c>
      <c r="Q152" s="1403" t="str">
        <f>IFERROR(VLOOKUP('別紙様式2-2（４・５月分）'!AR116,【参考】数式用!$AT$5:$AV$22,3,FALSE),"")</f>
        <v/>
      </c>
      <c r="R152" s="1405" t="s">
        <v>2190</v>
      </c>
      <c r="S152" s="1447" t="str">
        <f>IFERROR(VLOOKUP(K150,【参考】数式用!$A$5:$AB$27,MATCH(Q152,【参考】数式用!$B$4:$AB$4,0)+1,0),"")</f>
        <v/>
      </c>
      <c r="T152" s="1409" t="s">
        <v>217</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5" t="s">
        <v>38</v>
      </c>
      <c r="AI152" s="1367" t="str">
        <f>IFERROR(ROUNDDOWN(ROUND(L150*V152,0)*M150,0)*AG152,"")</f>
        <v/>
      </c>
      <c r="AJ152" s="1369" t="str">
        <f>IFERROR(ROUNDDOWN(ROUND((L150*(V152-AX150)),0)*M150,0)*AG152,"")</f>
        <v/>
      </c>
      <c r="AK152" s="1371">
        <f>IFERROR(IF(OR(N150="",N151="",N153=""),0,ROUNDDOWN(ROUNDDOWN(ROUND(L150*VLOOKUP(K150,【参考】数式用!$A$5:$AB$27,MATCH("新加算Ⅳ",【参考】数式用!$B$4:$AB$4,0)+1,0),0)*M150,0)*AG152*0.5,0)),"")</f>
        <v>0</v>
      </c>
      <c r="AL152" s="1361" t="str">
        <f t="shared" ref="AL152" si="108">IF(U152&lt;&gt;"","新規に適用","")</f>
        <v/>
      </c>
      <c r="AM152" s="1373">
        <f>IFERROR(IF(OR(N153="ベア加算",N153=""),0, IF(OR(U150="新加算Ⅰ",U150="新加算Ⅱ",U150="新加算Ⅲ",U150="新加算Ⅳ"),0,ROUNDDOWN(ROUND(L150*VLOOKUP(K150,【参考】数式用!$A$5:$I$27,MATCH("ベア加算",【参考】数式用!$B$4:$I$4,0)+1,0),0)*M150,0)*AG152)),"")</f>
        <v>0</v>
      </c>
      <c r="AN152" s="1345" t="str">
        <f>IF(AND(U152&lt;&gt;"",AN150=""),"新規に適用",IF(AND(U152&lt;&gt;"",AN150&lt;&gt;""),"継続で適用",""))</f>
        <v/>
      </c>
      <c r="AO152" s="1345" t="str">
        <f>IF(AND(U152&lt;&gt;"",AO150=""),"新規に適用",IF(AND(U152&lt;&gt;"",AO150&lt;&gt;""),"継続で適用",""))</f>
        <v/>
      </c>
      <c r="AP152" s="1391"/>
      <c r="AQ152" s="1345" t="str">
        <f>IF(AND(U152&lt;&gt;"",AQ150=""),"新規に適用",IF(AND(U152&lt;&gt;"",AQ150&lt;&gt;""),"継続で適用",""))</f>
        <v/>
      </c>
      <c r="AR152" s="1349" t="str">
        <f t="shared" si="70"/>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316"/>
      <c r="B153" s="1439"/>
      <c r="C153" s="1440"/>
      <c r="D153" s="1440"/>
      <c r="E153" s="1440"/>
      <c r="F153" s="1441"/>
      <c r="G153" s="1269"/>
      <c r="H153" s="1269"/>
      <c r="I153" s="1269"/>
      <c r="J153" s="1444"/>
      <c r="K153" s="1269"/>
      <c r="L153" s="1275"/>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66"/>
      <c r="AI153" s="1368"/>
      <c r="AJ153" s="1370"/>
      <c r="AK153" s="1372"/>
      <c r="AL153" s="1362"/>
      <c r="AM153" s="1374"/>
      <c r="AN153" s="1346"/>
      <c r="AO153" s="1346"/>
      <c r="AP153" s="1392"/>
      <c r="AQ153" s="1346"/>
      <c r="AR153" s="1350"/>
      <c r="AS153" s="1346"/>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4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2173</v>
      </c>
      <c r="U154" s="1433"/>
      <c r="V154" s="1435" t="str">
        <f>IFERROR(VLOOKUP(K154,【参考】数式用!$A$5:$AB$27,MATCH(U154,【参考】数式用!$B$4:$AB$4,0)+1,0),"")</f>
        <v/>
      </c>
      <c r="W154" s="1437" t="s">
        <v>19</v>
      </c>
      <c r="X154" s="1375">
        <v>6</v>
      </c>
      <c r="Y154" s="1377" t="s">
        <v>10</v>
      </c>
      <c r="Z154" s="1375">
        <v>6</v>
      </c>
      <c r="AA154" s="1377" t="s">
        <v>45</v>
      </c>
      <c r="AB154" s="1375">
        <v>7</v>
      </c>
      <c r="AC154" s="1377" t="s">
        <v>10</v>
      </c>
      <c r="AD154" s="1375">
        <v>3</v>
      </c>
      <c r="AE154" s="1377" t="s">
        <v>13</v>
      </c>
      <c r="AF154" s="1377" t="s">
        <v>24</v>
      </c>
      <c r="AG154" s="1377">
        <f>IF(X154&gt;=1,(AB154*12+AD154)-(X154*12+Z154)+1,"")</f>
        <v>10</v>
      </c>
      <c r="AH154" s="1379" t="s">
        <v>38</v>
      </c>
      <c r="AI154" s="1381" t="str">
        <f>IFERROR(ROUNDDOWN(ROUND(L154*V154,0)*M154,0)*AG154,"")</f>
        <v/>
      </c>
      <c r="AJ154" s="1383" t="str">
        <f>IFERROR(ROUNDDOWN(ROUND((L154*(V154-AX154)),0)*M154,0)*AG154,"")</f>
        <v/>
      </c>
      <c r="AK154" s="1385">
        <f>IFERROR(IF(OR(N154="",N155="",N157=""),0,ROUNDDOWN(ROUNDDOWN(ROUND(L154*VLOOKUP(K154,【参考】数式用!$A$5:$AB$27,MATCH("新加算Ⅳ",【参考】数式用!$B$4:$AB$4,0)+1,0),0)*M154,0)*AG154*0.5,0)),"")</f>
        <v>0</v>
      </c>
      <c r="AL154" s="1363"/>
      <c r="AM154" s="138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2"/>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2098</v>
      </c>
      <c r="BA154" s="1247" t="s">
        <v>2099</v>
      </c>
      <c r="BB154" s="1247" t="s">
        <v>2100</v>
      </c>
      <c r="BC154" s="1247" t="s">
        <v>2101</v>
      </c>
      <c r="BD154" s="1247" t="str">
        <f>IF(AND(P154&lt;&gt;"新加算Ⅰ",P154&lt;&gt;"新加算Ⅱ",P154&lt;&gt;"新加算Ⅲ",P154&lt;&gt;"新加算Ⅳ"),P154,IF(Q156&lt;&gt;"",Q156,""))</f>
        <v/>
      </c>
      <c r="BE154" s="1247"/>
      <c r="BF154" s="1247" t="str">
        <f t="shared" ref="BF154" si="110">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315"/>
      <c r="B155" s="1301"/>
      <c r="C155" s="1302"/>
      <c r="D155" s="1302"/>
      <c r="E155" s="1302"/>
      <c r="F155" s="1303"/>
      <c r="G155" s="1268"/>
      <c r="H155" s="1268"/>
      <c r="I155" s="1268"/>
      <c r="J155" s="1443"/>
      <c r="K155" s="1268"/>
      <c r="L155" s="1274"/>
      <c r="M155" s="1277"/>
      <c r="N155" s="1399" t="str">
        <f>IF('別紙様式2-2（４・５月分）'!Q120="","",'別紙様式2-2（４・５月分）'!Q120)</f>
        <v/>
      </c>
      <c r="O155" s="1420"/>
      <c r="P155" s="1426"/>
      <c r="Q155" s="1427"/>
      <c r="R155" s="1428"/>
      <c r="S155" s="1430"/>
      <c r="T155" s="1432"/>
      <c r="U155" s="1434"/>
      <c r="V155" s="1436"/>
      <c r="W155" s="1438"/>
      <c r="X155" s="1376"/>
      <c r="Y155" s="1378"/>
      <c r="Z155" s="1376"/>
      <c r="AA155" s="1378"/>
      <c r="AB155" s="1376"/>
      <c r="AC155" s="1378"/>
      <c r="AD155" s="1376"/>
      <c r="AE155" s="1378"/>
      <c r="AF155" s="1378"/>
      <c r="AG155" s="1378"/>
      <c r="AH155" s="1380"/>
      <c r="AI155" s="1382"/>
      <c r="AJ155" s="1384"/>
      <c r="AK155" s="1386"/>
      <c r="AL155" s="1364"/>
      <c r="AM155" s="1388"/>
      <c r="AN155" s="1360"/>
      <c r="AO155" s="1390"/>
      <c r="AP155" s="1394"/>
      <c r="AQ155" s="1394"/>
      <c r="AR155" s="1396"/>
      <c r="AS155" s="1348"/>
      <c r="AT155" s="1334" t="str">
        <f t="shared" si="104"/>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1"/>
      <c r="C156" s="1302"/>
      <c r="D156" s="1302"/>
      <c r="E156" s="1302"/>
      <c r="F156" s="1303"/>
      <c r="G156" s="1268"/>
      <c r="H156" s="1268"/>
      <c r="I156" s="1268"/>
      <c r="J156" s="1443"/>
      <c r="K156" s="1268"/>
      <c r="L156" s="1274"/>
      <c r="M156" s="1277"/>
      <c r="N156" s="1400"/>
      <c r="O156" s="1421"/>
      <c r="P156" s="1401" t="s">
        <v>2179</v>
      </c>
      <c r="Q156" s="1403" t="str">
        <f>IFERROR(VLOOKUP('別紙様式2-2（４・５月分）'!AR119,【参考】数式用!$AT$5:$AV$22,3,FALSE),"")</f>
        <v/>
      </c>
      <c r="R156" s="1405" t="s">
        <v>2190</v>
      </c>
      <c r="S156" s="1407" t="str">
        <f>IFERROR(VLOOKUP(K154,【参考】数式用!$A$5:$AB$27,MATCH(Q156,【参考】数式用!$B$4:$AB$4,0)+1,0),"")</f>
        <v/>
      </c>
      <c r="T156" s="1409" t="s">
        <v>217</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5" t="s">
        <v>38</v>
      </c>
      <c r="AI156" s="1367" t="str">
        <f>IFERROR(ROUNDDOWN(ROUND(L154*V156,0)*M154,0)*AG156,"")</f>
        <v/>
      </c>
      <c r="AJ156" s="1369" t="str">
        <f>IFERROR(ROUNDDOWN(ROUND((L154*(V156-AX154)),0)*M154,0)*AG156,"")</f>
        <v/>
      </c>
      <c r="AK156" s="1371">
        <f>IFERROR(IF(OR(N154="",N155="",N157=""),0,ROUNDDOWN(ROUNDDOWN(ROUND(L154*VLOOKUP(K154,【参考】数式用!$A$5:$AB$27,MATCH("新加算Ⅳ",【参考】数式用!$B$4:$AB$4,0)+1,0),0)*M154,0)*AG156*0.5,0)),"")</f>
        <v>0</v>
      </c>
      <c r="AL156" s="1361" t="str">
        <f t="shared" ref="AL156" si="111">IF(U156&lt;&gt;"","新規に適用","")</f>
        <v/>
      </c>
      <c r="AM156" s="1373">
        <f>IFERROR(IF(OR(N157="ベア加算",N157=""),0, IF(OR(U154="新加算Ⅰ",U154="新加算Ⅱ",U154="新加算Ⅲ",U154="新加算Ⅳ"),0,ROUNDDOWN(ROUND(L154*VLOOKUP(K154,【参考】数式用!$A$5:$I$27,MATCH("ベア加算",【参考】数式用!$B$4:$I$4,0)+1,0),0)*M154,0)*AG156)),"")</f>
        <v>0</v>
      </c>
      <c r="AN156" s="1345" t="str">
        <f>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0"/>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316"/>
      <c r="B157" s="1439"/>
      <c r="C157" s="1440"/>
      <c r="D157" s="1440"/>
      <c r="E157" s="1440"/>
      <c r="F157" s="1441"/>
      <c r="G157" s="1269"/>
      <c r="H157" s="1269"/>
      <c r="I157" s="1269"/>
      <c r="J157" s="1444"/>
      <c r="K157" s="1269"/>
      <c r="L157" s="1275"/>
      <c r="M157" s="1278"/>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66"/>
      <c r="AI157" s="1368"/>
      <c r="AJ157" s="1370"/>
      <c r="AK157" s="1372"/>
      <c r="AL157" s="1362"/>
      <c r="AM157" s="1374"/>
      <c r="AN157" s="1346"/>
      <c r="AO157" s="1346"/>
      <c r="AP157" s="1392"/>
      <c r="AQ157" s="1346"/>
      <c r="AR157" s="1350"/>
      <c r="AS157" s="1346"/>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314">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43" t="str">
        <f>IF(基本情報入力シート!X90="","",基本情報入力シート!X90)</f>
        <v/>
      </c>
      <c r="K158" s="1268" t="str">
        <f>IF(基本情報入力シート!Y90="","",基本情報入力シート!Y90)</f>
        <v/>
      </c>
      <c r="L158" s="1274"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2173</v>
      </c>
      <c r="U158" s="1433"/>
      <c r="V158" s="1435" t="str">
        <f>IFERROR(VLOOKUP(K158,【参考】数式用!$A$5:$AB$27,MATCH(U158,【参考】数式用!$B$4:$AB$4,0)+1,0),"")</f>
        <v/>
      </c>
      <c r="W158" s="1437" t="s">
        <v>19</v>
      </c>
      <c r="X158" s="1375">
        <v>6</v>
      </c>
      <c r="Y158" s="1377" t="s">
        <v>10</v>
      </c>
      <c r="Z158" s="1375">
        <v>6</v>
      </c>
      <c r="AA158" s="1377" t="s">
        <v>45</v>
      </c>
      <c r="AB158" s="1375">
        <v>7</v>
      </c>
      <c r="AC158" s="1377" t="s">
        <v>10</v>
      </c>
      <c r="AD158" s="1375">
        <v>3</v>
      </c>
      <c r="AE158" s="1377" t="s">
        <v>13</v>
      </c>
      <c r="AF158" s="1377" t="s">
        <v>24</v>
      </c>
      <c r="AG158" s="1377">
        <f>IF(X158&gt;=1,(AB158*12+AD158)-(X158*12+Z158)+1,"")</f>
        <v>10</v>
      </c>
      <c r="AH158" s="1379" t="s">
        <v>38</v>
      </c>
      <c r="AI158" s="1381" t="str">
        <f>IFERROR(ROUNDDOWN(ROUND(L158*V158,0)*M158,0)*AG158,"")</f>
        <v/>
      </c>
      <c r="AJ158" s="1383" t="str">
        <f>IFERROR(ROUNDDOWN(ROUND((L158*(V158-AX158)),0)*M158,0)*AG158,"")</f>
        <v/>
      </c>
      <c r="AK158" s="1385">
        <f>IFERROR(IF(OR(N158="",N159="",N161=""),0,ROUNDDOWN(ROUNDDOWN(ROUND(L158*VLOOKUP(K158,【参考】数式用!$A$5:$AB$27,MATCH("新加算Ⅳ",【参考】数式用!$B$4:$AB$4,0)+1,0),0)*M158,0)*AG158*0.5,0)),"")</f>
        <v>0</v>
      </c>
      <c r="AL158" s="1363"/>
      <c r="AM158" s="138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2"/>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2098</v>
      </c>
      <c r="BA158" s="1247" t="s">
        <v>2099</v>
      </c>
      <c r="BB158" s="1247" t="s">
        <v>2100</v>
      </c>
      <c r="BC158" s="1247" t="s">
        <v>2101</v>
      </c>
      <c r="BD158" s="1247" t="str">
        <f>IF(AND(P158&lt;&gt;"新加算Ⅰ",P158&lt;&gt;"新加算Ⅱ",P158&lt;&gt;"新加算Ⅲ",P158&lt;&gt;"新加算Ⅳ"),P158,IF(Q160&lt;&gt;"",Q160,""))</f>
        <v/>
      </c>
      <c r="BE158" s="1247"/>
      <c r="BF158" s="1247" t="str">
        <f t="shared" ref="BF158" si="113">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315"/>
      <c r="B159" s="1301"/>
      <c r="C159" s="1302"/>
      <c r="D159" s="1302"/>
      <c r="E159" s="1302"/>
      <c r="F159" s="1303"/>
      <c r="G159" s="1268"/>
      <c r="H159" s="1268"/>
      <c r="I159" s="1268"/>
      <c r="J159" s="1443"/>
      <c r="K159" s="1268"/>
      <c r="L159" s="1274"/>
      <c r="M159" s="1445"/>
      <c r="N159" s="1399" t="str">
        <f>IF('別紙様式2-2（４・５月分）'!Q123="","",'別紙様式2-2（４・５月分）'!Q123)</f>
        <v/>
      </c>
      <c r="O159" s="1420"/>
      <c r="P159" s="1426"/>
      <c r="Q159" s="1427"/>
      <c r="R159" s="1428"/>
      <c r="S159" s="1430"/>
      <c r="T159" s="1432"/>
      <c r="U159" s="1434"/>
      <c r="V159" s="1436"/>
      <c r="W159" s="1438"/>
      <c r="X159" s="1376"/>
      <c r="Y159" s="1378"/>
      <c r="Z159" s="1376"/>
      <c r="AA159" s="1378"/>
      <c r="AB159" s="1376"/>
      <c r="AC159" s="1378"/>
      <c r="AD159" s="1376"/>
      <c r="AE159" s="1378"/>
      <c r="AF159" s="1378"/>
      <c r="AG159" s="1378"/>
      <c r="AH159" s="1380"/>
      <c r="AI159" s="1382"/>
      <c r="AJ159" s="1384"/>
      <c r="AK159" s="1386"/>
      <c r="AL159" s="1364"/>
      <c r="AM159" s="1388"/>
      <c r="AN159" s="1360"/>
      <c r="AO159" s="1390"/>
      <c r="AP159" s="1394"/>
      <c r="AQ159" s="1394"/>
      <c r="AR159" s="1396"/>
      <c r="AS159" s="1348"/>
      <c r="AT159" s="1334" t="str">
        <f t="shared" si="104"/>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1"/>
      <c r="C160" s="1302"/>
      <c r="D160" s="1302"/>
      <c r="E160" s="1302"/>
      <c r="F160" s="1303"/>
      <c r="G160" s="1268"/>
      <c r="H160" s="1268"/>
      <c r="I160" s="1268"/>
      <c r="J160" s="1443"/>
      <c r="K160" s="1268"/>
      <c r="L160" s="1274"/>
      <c r="M160" s="1445"/>
      <c r="N160" s="1400"/>
      <c r="O160" s="1421"/>
      <c r="P160" s="1401" t="s">
        <v>2179</v>
      </c>
      <c r="Q160" s="1403" t="str">
        <f>IFERROR(VLOOKUP('別紙様式2-2（４・５月分）'!AR122,【参考】数式用!$AT$5:$AV$22,3,FALSE),"")</f>
        <v/>
      </c>
      <c r="R160" s="1405" t="s">
        <v>2190</v>
      </c>
      <c r="S160" s="1447" t="str">
        <f>IFERROR(VLOOKUP(K158,【参考】数式用!$A$5:$AB$27,MATCH(Q160,【参考】数式用!$B$4:$AB$4,0)+1,0),"")</f>
        <v/>
      </c>
      <c r="T160" s="1409" t="s">
        <v>217</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5" t="s">
        <v>38</v>
      </c>
      <c r="AI160" s="1367" t="str">
        <f>IFERROR(ROUNDDOWN(ROUND(L158*V160,0)*M158,0)*AG160,"")</f>
        <v/>
      </c>
      <c r="AJ160" s="1369" t="str">
        <f>IFERROR(ROUNDDOWN(ROUND((L158*(V160-AX158)),0)*M158,0)*AG160,"")</f>
        <v/>
      </c>
      <c r="AK160" s="1371">
        <f>IFERROR(IF(OR(N158="",N159="",N161=""),0,ROUNDDOWN(ROUNDDOWN(ROUND(L158*VLOOKUP(K158,【参考】数式用!$A$5:$AB$27,MATCH("新加算Ⅳ",【参考】数式用!$B$4:$AB$4,0)+1,0),0)*M158,0)*AG160*0.5,0)),"")</f>
        <v>0</v>
      </c>
      <c r="AL160" s="1361" t="str">
        <f t="shared" ref="AL160" si="114">IF(U160&lt;&gt;"","新規に適用","")</f>
        <v/>
      </c>
      <c r="AM160" s="1373">
        <f>IFERROR(IF(OR(N161="ベア加算",N161=""),0, IF(OR(U158="新加算Ⅰ",U158="新加算Ⅱ",U158="新加算Ⅲ",U158="新加算Ⅳ"),0,ROUNDDOWN(ROUND(L158*VLOOKUP(K158,【参考】数式用!$A$5:$I$27,MATCH("ベア加算",【参考】数式用!$B$4:$I$4,0)+1,0),0)*M158,0)*AG160)),"")</f>
        <v>0</v>
      </c>
      <c r="AN160" s="1345" t="str">
        <f>IF(AND(U160&lt;&gt;"",AN158=""),"新規に適用",IF(AND(U160&lt;&gt;"",AN158&lt;&gt;""),"継続で適用",""))</f>
        <v/>
      </c>
      <c r="AO160" s="1345" t="str">
        <f>IF(AND(U160&lt;&gt;"",AO158=""),"新規に適用",IF(AND(U160&lt;&gt;"",AO158&lt;&gt;""),"継続で適用",""))</f>
        <v/>
      </c>
      <c r="AP160" s="1391"/>
      <c r="AQ160" s="1345" t="str">
        <f>IF(AND(U160&lt;&gt;"",AQ158=""),"新規に適用",IF(AND(U160&lt;&gt;"",AQ158&lt;&gt;""),"継続で適用",""))</f>
        <v/>
      </c>
      <c r="AR160" s="1349" t="str">
        <f t="shared" si="70"/>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316"/>
      <c r="B161" s="1439"/>
      <c r="C161" s="1440"/>
      <c r="D161" s="1440"/>
      <c r="E161" s="1440"/>
      <c r="F161" s="1441"/>
      <c r="G161" s="1269"/>
      <c r="H161" s="1269"/>
      <c r="I161" s="1269"/>
      <c r="J161" s="1444"/>
      <c r="K161" s="1269"/>
      <c r="L161" s="1275"/>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66"/>
      <c r="AI161" s="1368"/>
      <c r="AJ161" s="1370"/>
      <c r="AK161" s="1372"/>
      <c r="AL161" s="1362"/>
      <c r="AM161" s="1374"/>
      <c r="AN161" s="1346"/>
      <c r="AO161" s="1346"/>
      <c r="AP161" s="1392"/>
      <c r="AQ161" s="1346"/>
      <c r="AR161" s="1350"/>
      <c r="AS161" s="1346"/>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4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2173</v>
      </c>
      <c r="U162" s="1433"/>
      <c r="V162" s="1435" t="str">
        <f>IFERROR(VLOOKUP(K162,【参考】数式用!$A$5:$AB$27,MATCH(U162,【参考】数式用!$B$4:$AB$4,0)+1,0),"")</f>
        <v/>
      </c>
      <c r="W162" s="1437" t="s">
        <v>19</v>
      </c>
      <c r="X162" s="1375">
        <v>6</v>
      </c>
      <c r="Y162" s="1377" t="s">
        <v>10</v>
      </c>
      <c r="Z162" s="1375">
        <v>6</v>
      </c>
      <c r="AA162" s="1377" t="s">
        <v>45</v>
      </c>
      <c r="AB162" s="1375">
        <v>7</v>
      </c>
      <c r="AC162" s="1377" t="s">
        <v>10</v>
      </c>
      <c r="AD162" s="1375">
        <v>3</v>
      </c>
      <c r="AE162" s="1377" t="s">
        <v>13</v>
      </c>
      <c r="AF162" s="1377" t="s">
        <v>24</v>
      </c>
      <c r="AG162" s="1377">
        <f>IF(X162&gt;=1,(AB162*12+AD162)-(X162*12+Z162)+1,"")</f>
        <v>10</v>
      </c>
      <c r="AH162" s="1379" t="s">
        <v>38</v>
      </c>
      <c r="AI162" s="1381" t="str">
        <f>IFERROR(ROUNDDOWN(ROUND(L162*V162,0)*M162,0)*AG162,"")</f>
        <v/>
      </c>
      <c r="AJ162" s="1383" t="str">
        <f>IFERROR(ROUNDDOWN(ROUND((L162*(V162-AX162)),0)*M162,0)*AG162,"")</f>
        <v/>
      </c>
      <c r="AK162" s="1385">
        <f>IFERROR(IF(OR(N162="",N163="",N165=""),0,ROUNDDOWN(ROUNDDOWN(ROUND(L162*VLOOKUP(K162,【参考】数式用!$A$5:$AB$27,MATCH("新加算Ⅳ",【参考】数式用!$B$4:$AB$4,0)+1,0),0)*M162,0)*AG162*0.5,0)),"")</f>
        <v>0</v>
      </c>
      <c r="AL162" s="1363"/>
      <c r="AM162" s="138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2"/>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2098</v>
      </c>
      <c r="BA162" s="1247" t="s">
        <v>2099</v>
      </c>
      <c r="BB162" s="1247" t="s">
        <v>2100</v>
      </c>
      <c r="BC162" s="1247" t="s">
        <v>2101</v>
      </c>
      <c r="BD162" s="1247" t="str">
        <f>IF(AND(P162&lt;&gt;"新加算Ⅰ",P162&lt;&gt;"新加算Ⅱ",P162&lt;&gt;"新加算Ⅲ",P162&lt;&gt;"新加算Ⅳ"),P162,IF(Q164&lt;&gt;"",Q164,""))</f>
        <v/>
      </c>
      <c r="BE162" s="1247"/>
      <c r="BF162" s="1247" t="str">
        <f t="shared" ref="BF162" si="116">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315"/>
      <c r="B163" s="1301"/>
      <c r="C163" s="1302"/>
      <c r="D163" s="1302"/>
      <c r="E163" s="1302"/>
      <c r="F163" s="1303"/>
      <c r="G163" s="1268"/>
      <c r="H163" s="1268"/>
      <c r="I163" s="1268"/>
      <c r="J163" s="1443"/>
      <c r="K163" s="1268"/>
      <c r="L163" s="1274"/>
      <c r="M163" s="1277"/>
      <c r="N163" s="1399" t="str">
        <f>IF('別紙様式2-2（４・５月分）'!Q126="","",'別紙様式2-2（４・５月分）'!Q126)</f>
        <v/>
      </c>
      <c r="O163" s="1420"/>
      <c r="P163" s="1426"/>
      <c r="Q163" s="1427"/>
      <c r="R163" s="1428"/>
      <c r="S163" s="1430"/>
      <c r="T163" s="1432"/>
      <c r="U163" s="1434"/>
      <c r="V163" s="1436"/>
      <c r="W163" s="1438"/>
      <c r="X163" s="1376"/>
      <c r="Y163" s="1378"/>
      <c r="Z163" s="1376"/>
      <c r="AA163" s="1378"/>
      <c r="AB163" s="1376"/>
      <c r="AC163" s="1378"/>
      <c r="AD163" s="1376"/>
      <c r="AE163" s="1378"/>
      <c r="AF163" s="1378"/>
      <c r="AG163" s="1378"/>
      <c r="AH163" s="1380"/>
      <c r="AI163" s="1382"/>
      <c r="AJ163" s="1384"/>
      <c r="AK163" s="1386"/>
      <c r="AL163" s="1364"/>
      <c r="AM163" s="1388"/>
      <c r="AN163" s="1360"/>
      <c r="AO163" s="1390"/>
      <c r="AP163" s="1394"/>
      <c r="AQ163" s="1394"/>
      <c r="AR163" s="1396"/>
      <c r="AS163" s="1348"/>
      <c r="AT163" s="1334" t="str">
        <f t="shared" si="104"/>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1"/>
      <c r="C164" s="1302"/>
      <c r="D164" s="1302"/>
      <c r="E164" s="1302"/>
      <c r="F164" s="1303"/>
      <c r="G164" s="1268"/>
      <c r="H164" s="1268"/>
      <c r="I164" s="1268"/>
      <c r="J164" s="1443"/>
      <c r="K164" s="1268"/>
      <c r="L164" s="1274"/>
      <c r="M164" s="1277"/>
      <c r="N164" s="1400"/>
      <c r="O164" s="1421"/>
      <c r="P164" s="1401" t="s">
        <v>2179</v>
      </c>
      <c r="Q164" s="1403" t="str">
        <f>IFERROR(VLOOKUP('別紙様式2-2（４・５月分）'!AR125,【参考】数式用!$AT$5:$AV$22,3,FALSE),"")</f>
        <v/>
      </c>
      <c r="R164" s="1405" t="s">
        <v>2190</v>
      </c>
      <c r="S164" s="1407" t="str">
        <f>IFERROR(VLOOKUP(K162,【参考】数式用!$A$5:$AB$27,MATCH(Q164,【参考】数式用!$B$4:$AB$4,0)+1,0),"")</f>
        <v/>
      </c>
      <c r="T164" s="1409" t="s">
        <v>217</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5" t="s">
        <v>38</v>
      </c>
      <c r="AI164" s="1367" t="str">
        <f>IFERROR(ROUNDDOWN(ROUND(L162*V164,0)*M162,0)*AG164,"")</f>
        <v/>
      </c>
      <c r="AJ164" s="1369" t="str">
        <f>IFERROR(ROUNDDOWN(ROUND((L162*(V164-AX162)),0)*M162,0)*AG164,"")</f>
        <v/>
      </c>
      <c r="AK164" s="1371">
        <f>IFERROR(IF(OR(N162="",N163="",N165=""),0,ROUNDDOWN(ROUNDDOWN(ROUND(L162*VLOOKUP(K162,【参考】数式用!$A$5:$AB$27,MATCH("新加算Ⅳ",【参考】数式用!$B$4:$AB$4,0)+1,0),0)*M162,0)*AG164*0.5,0)),"")</f>
        <v>0</v>
      </c>
      <c r="AL164" s="1361" t="str">
        <f t="shared" ref="AL164" si="117">IF(U164&lt;&gt;"","新規に適用","")</f>
        <v/>
      </c>
      <c r="AM164" s="1373">
        <f>IFERROR(IF(OR(N165="ベア加算",N165=""),0, IF(OR(U162="新加算Ⅰ",U162="新加算Ⅱ",U162="新加算Ⅲ",U162="新加算Ⅳ"),0,ROUNDDOWN(ROUND(L162*VLOOKUP(K162,【参考】数式用!$A$5:$I$27,MATCH("ベア加算",【参考】数式用!$B$4:$I$4,0)+1,0),0)*M162,0)*AG164)),"")</f>
        <v>0</v>
      </c>
      <c r="AN164" s="1345" t="str">
        <f>IF(AND(U164&lt;&gt;"",AN162=""),"新規に適用",IF(AND(U164&lt;&gt;"",AN162&lt;&gt;""),"継続で適用",""))</f>
        <v/>
      </c>
      <c r="AO164" s="1345" t="str">
        <f>IF(AND(U164&lt;&gt;"",AO162=""),"新規に適用",IF(AND(U164&lt;&gt;"",AO162&lt;&gt;""),"継続で適用",""))</f>
        <v/>
      </c>
      <c r="AP164" s="1391"/>
      <c r="AQ164" s="1345" t="str">
        <f>IF(AND(U164&lt;&gt;"",AQ162=""),"新規に適用",IF(AND(U164&lt;&gt;"",AQ162&lt;&gt;""),"継続で適用",""))</f>
        <v/>
      </c>
      <c r="AR164" s="1349" t="str">
        <f t="shared" si="70"/>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316"/>
      <c r="B165" s="1439"/>
      <c r="C165" s="1440"/>
      <c r="D165" s="1440"/>
      <c r="E165" s="1440"/>
      <c r="F165" s="1441"/>
      <c r="G165" s="1269"/>
      <c r="H165" s="1269"/>
      <c r="I165" s="1269"/>
      <c r="J165" s="1444"/>
      <c r="K165" s="1269"/>
      <c r="L165" s="1275"/>
      <c r="M165" s="1278"/>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66"/>
      <c r="AI165" s="1368"/>
      <c r="AJ165" s="1370"/>
      <c r="AK165" s="1372"/>
      <c r="AL165" s="1362"/>
      <c r="AM165" s="1374"/>
      <c r="AN165" s="1346"/>
      <c r="AO165" s="1346"/>
      <c r="AP165" s="1392"/>
      <c r="AQ165" s="1346"/>
      <c r="AR165" s="1350"/>
      <c r="AS165" s="1346"/>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314">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43" t="str">
        <f>IF(基本情報入力シート!X92="","",基本情報入力シート!X92)</f>
        <v/>
      </c>
      <c r="K166" s="1268" t="str">
        <f>IF(基本情報入力シート!Y92="","",基本情報入力シート!Y92)</f>
        <v/>
      </c>
      <c r="L166" s="1274"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2173</v>
      </c>
      <c r="U166" s="1433"/>
      <c r="V166" s="1435" t="str">
        <f>IFERROR(VLOOKUP(K166,【参考】数式用!$A$5:$AB$27,MATCH(U166,【参考】数式用!$B$4:$AB$4,0)+1,0),"")</f>
        <v/>
      </c>
      <c r="W166" s="1437" t="s">
        <v>19</v>
      </c>
      <c r="X166" s="1375">
        <v>6</v>
      </c>
      <c r="Y166" s="1377" t="s">
        <v>10</v>
      </c>
      <c r="Z166" s="1375">
        <v>6</v>
      </c>
      <c r="AA166" s="1377" t="s">
        <v>45</v>
      </c>
      <c r="AB166" s="1375">
        <v>7</v>
      </c>
      <c r="AC166" s="1377" t="s">
        <v>10</v>
      </c>
      <c r="AD166" s="1375">
        <v>3</v>
      </c>
      <c r="AE166" s="1377" t="s">
        <v>13</v>
      </c>
      <c r="AF166" s="1377" t="s">
        <v>24</v>
      </c>
      <c r="AG166" s="1377">
        <f>IF(X166&gt;=1,(AB166*12+AD166)-(X166*12+Z166)+1,"")</f>
        <v>10</v>
      </c>
      <c r="AH166" s="1379" t="s">
        <v>38</v>
      </c>
      <c r="AI166" s="1381" t="str">
        <f>IFERROR(ROUNDDOWN(ROUND(L166*V166,0)*M166,0)*AG166,"")</f>
        <v/>
      </c>
      <c r="AJ166" s="1383" t="str">
        <f>IFERROR(ROUNDDOWN(ROUND((L166*(V166-AX166)),0)*M166,0)*AG166,"")</f>
        <v/>
      </c>
      <c r="AK166" s="1385">
        <f>IFERROR(IF(OR(N166="",N167="",N169=""),0,ROUNDDOWN(ROUNDDOWN(ROUND(L166*VLOOKUP(K166,【参考】数式用!$A$5:$AB$27,MATCH("新加算Ⅳ",【参考】数式用!$B$4:$AB$4,0)+1,0),0)*M166,0)*AG166*0.5,0)),"")</f>
        <v>0</v>
      </c>
      <c r="AL166" s="1363"/>
      <c r="AM166" s="138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2"/>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2098</v>
      </c>
      <c r="BA166" s="1247" t="s">
        <v>2099</v>
      </c>
      <c r="BB166" s="1247" t="s">
        <v>2100</v>
      </c>
      <c r="BC166" s="1247" t="s">
        <v>2101</v>
      </c>
      <c r="BD166" s="1247" t="str">
        <f>IF(AND(P166&lt;&gt;"新加算Ⅰ",P166&lt;&gt;"新加算Ⅱ",P166&lt;&gt;"新加算Ⅲ",P166&lt;&gt;"新加算Ⅳ"),P166,IF(Q168&lt;&gt;"",Q168,""))</f>
        <v/>
      </c>
      <c r="BE166" s="1247"/>
      <c r="BF166" s="1247" t="str">
        <f t="shared" ref="BF166" si="119">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315"/>
      <c r="B167" s="1301"/>
      <c r="C167" s="1302"/>
      <c r="D167" s="1302"/>
      <c r="E167" s="1302"/>
      <c r="F167" s="1303"/>
      <c r="G167" s="1268"/>
      <c r="H167" s="1268"/>
      <c r="I167" s="1268"/>
      <c r="J167" s="1443"/>
      <c r="K167" s="1268"/>
      <c r="L167" s="1274"/>
      <c r="M167" s="1445"/>
      <c r="N167" s="1399" t="str">
        <f>IF('別紙様式2-2（４・５月分）'!Q129="","",'別紙様式2-2（４・５月分）'!Q129)</f>
        <v/>
      </c>
      <c r="O167" s="1420"/>
      <c r="P167" s="1426"/>
      <c r="Q167" s="1427"/>
      <c r="R167" s="1428"/>
      <c r="S167" s="1430"/>
      <c r="T167" s="1432"/>
      <c r="U167" s="1434"/>
      <c r="V167" s="1436"/>
      <c r="W167" s="1438"/>
      <c r="X167" s="1376"/>
      <c r="Y167" s="1378"/>
      <c r="Z167" s="1376"/>
      <c r="AA167" s="1378"/>
      <c r="AB167" s="1376"/>
      <c r="AC167" s="1378"/>
      <c r="AD167" s="1376"/>
      <c r="AE167" s="1378"/>
      <c r="AF167" s="1378"/>
      <c r="AG167" s="1378"/>
      <c r="AH167" s="1380"/>
      <c r="AI167" s="1382"/>
      <c r="AJ167" s="1384"/>
      <c r="AK167" s="1386"/>
      <c r="AL167" s="1364"/>
      <c r="AM167" s="1388"/>
      <c r="AN167" s="1360"/>
      <c r="AO167" s="1390"/>
      <c r="AP167" s="1394"/>
      <c r="AQ167" s="1394"/>
      <c r="AR167" s="1396"/>
      <c r="AS167" s="1348"/>
      <c r="AT167" s="1334" t="str">
        <f t="shared" si="104"/>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1"/>
      <c r="C168" s="1302"/>
      <c r="D168" s="1302"/>
      <c r="E168" s="1302"/>
      <c r="F168" s="1303"/>
      <c r="G168" s="1268"/>
      <c r="H168" s="1268"/>
      <c r="I168" s="1268"/>
      <c r="J168" s="1443"/>
      <c r="K168" s="1268"/>
      <c r="L168" s="1274"/>
      <c r="M168" s="1445"/>
      <c r="N168" s="1400"/>
      <c r="O168" s="1421"/>
      <c r="P168" s="1401" t="s">
        <v>2179</v>
      </c>
      <c r="Q168" s="1403" t="str">
        <f>IFERROR(VLOOKUP('別紙様式2-2（４・５月分）'!AR128,【参考】数式用!$AT$5:$AV$22,3,FALSE),"")</f>
        <v/>
      </c>
      <c r="R168" s="1405" t="s">
        <v>2190</v>
      </c>
      <c r="S168" s="1447" t="str">
        <f>IFERROR(VLOOKUP(K166,【参考】数式用!$A$5:$AB$27,MATCH(Q168,【参考】数式用!$B$4:$AB$4,0)+1,0),"")</f>
        <v/>
      </c>
      <c r="T168" s="1409" t="s">
        <v>217</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5" t="s">
        <v>38</v>
      </c>
      <c r="AI168" s="1367" t="str">
        <f>IFERROR(ROUNDDOWN(ROUND(L166*V168,0)*M166,0)*AG168,"")</f>
        <v/>
      </c>
      <c r="AJ168" s="1369" t="str">
        <f>IFERROR(ROUNDDOWN(ROUND((L166*(V168-AX166)),0)*M166,0)*AG168,"")</f>
        <v/>
      </c>
      <c r="AK168" s="1371">
        <f>IFERROR(IF(OR(N166="",N167="",N169=""),0,ROUNDDOWN(ROUNDDOWN(ROUND(L166*VLOOKUP(K166,【参考】数式用!$A$5:$AB$27,MATCH("新加算Ⅳ",【参考】数式用!$B$4:$AB$4,0)+1,0),0)*M166,0)*AG168*0.5,0)),"")</f>
        <v>0</v>
      </c>
      <c r="AL168" s="1361" t="str">
        <f t="shared" ref="AL168" si="120">IF(U168&lt;&gt;"","新規に適用","")</f>
        <v/>
      </c>
      <c r="AM168" s="1373">
        <f>IFERROR(IF(OR(N169="ベア加算",N169=""),0, IF(OR(U166="新加算Ⅰ",U166="新加算Ⅱ",U166="新加算Ⅲ",U166="新加算Ⅳ"),0,ROUNDDOWN(ROUND(L166*VLOOKUP(K166,【参考】数式用!$A$5:$I$27,MATCH("ベア加算",【参考】数式用!$B$4:$I$4,0)+1,0),0)*M166,0)*AG168)),"")</f>
        <v>0</v>
      </c>
      <c r="AN168" s="1345" t="str">
        <f>IF(AND(U168&lt;&gt;"",AN166=""),"新規に適用",IF(AND(U168&lt;&gt;"",AN166&lt;&gt;""),"継続で適用",""))</f>
        <v/>
      </c>
      <c r="AO168" s="1345" t="str">
        <f>IF(AND(U168&lt;&gt;"",AO166=""),"新規に適用",IF(AND(U168&lt;&gt;"",AO166&lt;&gt;""),"継続で適用",""))</f>
        <v/>
      </c>
      <c r="AP168" s="1391"/>
      <c r="AQ168" s="1345" t="str">
        <f>IF(AND(U168&lt;&gt;"",AQ166=""),"新規に適用",IF(AND(U168&lt;&gt;"",AQ166&lt;&gt;""),"継続で適用",""))</f>
        <v/>
      </c>
      <c r="AR168" s="1349"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316"/>
      <c r="B169" s="1439"/>
      <c r="C169" s="1440"/>
      <c r="D169" s="1440"/>
      <c r="E169" s="1440"/>
      <c r="F169" s="1441"/>
      <c r="G169" s="1269"/>
      <c r="H169" s="1269"/>
      <c r="I169" s="1269"/>
      <c r="J169" s="1444"/>
      <c r="K169" s="1269"/>
      <c r="L169" s="1275"/>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66"/>
      <c r="AI169" s="1368"/>
      <c r="AJ169" s="1370"/>
      <c r="AK169" s="1372"/>
      <c r="AL169" s="1362"/>
      <c r="AM169" s="1374"/>
      <c r="AN169" s="1346"/>
      <c r="AO169" s="1346"/>
      <c r="AP169" s="1392"/>
      <c r="AQ169" s="1346"/>
      <c r="AR169" s="1350"/>
      <c r="AS169" s="1346"/>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43" t="str">
        <f>IF(基本情報入力シート!X93="","",基本情報入力シート!X93)</f>
        <v/>
      </c>
      <c r="K170" s="1268" t="str">
        <f>IF(基本情報入力シート!Y93="","",基本情報入力シート!Y93)</f>
        <v/>
      </c>
      <c r="L170" s="1274"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2173</v>
      </c>
      <c r="U170" s="1433"/>
      <c r="V170" s="1435" t="str">
        <f>IFERROR(VLOOKUP(K170,【参考】数式用!$A$5:$AB$27,MATCH(U170,【参考】数式用!$B$4:$AB$4,0)+1,0),"")</f>
        <v/>
      </c>
      <c r="W170" s="1437" t="s">
        <v>19</v>
      </c>
      <c r="X170" s="1375">
        <v>6</v>
      </c>
      <c r="Y170" s="1377" t="s">
        <v>10</v>
      </c>
      <c r="Z170" s="1375">
        <v>6</v>
      </c>
      <c r="AA170" s="1377" t="s">
        <v>45</v>
      </c>
      <c r="AB170" s="1375">
        <v>7</v>
      </c>
      <c r="AC170" s="1377" t="s">
        <v>10</v>
      </c>
      <c r="AD170" s="1375">
        <v>3</v>
      </c>
      <c r="AE170" s="1377" t="s">
        <v>13</v>
      </c>
      <c r="AF170" s="1377" t="s">
        <v>24</v>
      </c>
      <c r="AG170" s="1377">
        <f>IF(X170&gt;=1,(AB170*12+AD170)-(X170*12+Z170)+1,"")</f>
        <v>10</v>
      </c>
      <c r="AH170" s="1379" t="s">
        <v>38</v>
      </c>
      <c r="AI170" s="1381" t="str">
        <f>IFERROR(ROUNDDOWN(ROUND(L170*V170,0)*M170,0)*AG170,"")</f>
        <v/>
      </c>
      <c r="AJ170" s="1383" t="str">
        <f>IFERROR(ROUNDDOWN(ROUND((L170*(V170-AX170)),0)*M170,0)*AG170,"")</f>
        <v/>
      </c>
      <c r="AK170" s="1385">
        <f>IFERROR(IF(OR(N170="",N171="",N173=""),0,ROUNDDOWN(ROUNDDOWN(ROUND(L170*VLOOKUP(K170,【参考】数式用!$A$5:$AB$27,MATCH("新加算Ⅳ",【参考】数式用!$B$4:$AB$4,0)+1,0),0)*M170,0)*AG170*0.5,0)),"")</f>
        <v>0</v>
      </c>
      <c r="AL170" s="1363"/>
      <c r="AM170" s="138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2"/>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2098</v>
      </c>
      <c r="BA170" s="1247" t="s">
        <v>2099</v>
      </c>
      <c r="BB170" s="1247" t="s">
        <v>2100</v>
      </c>
      <c r="BC170" s="1247" t="s">
        <v>2101</v>
      </c>
      <c r="BD170" s="1247" t="str">
        <f>IF(AND(P170&lt;&gt;"新加算Ⅰ",P170&lt;&gt;"新加算Ⅱ",P170&lt;&gt;"新加算Ⅲ",P170&lt;&gt;"新加算Ⅳ"),P170,IF(Q172&lt;&gt;"",Q172,""))</f>
        <v/>
      </c>
      <c r="BE170" s="1247"/>
      <c r="BF170" s="1247" t="str">
        <f t="shared" ref="BF170" si="123">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315"/>
      <c r="B171" s="1301"/>
      <c r="C171" s="1302"/>
      <c r="D171" s="1302"/>
      <c r="E171" s="1302"/>
      <c r="F171" s="1303"/>
      <c r="G171" s="1268"/>
      <c r="H171" s="1268"/>
      <c r="I171" s="1268"/>
      <c r="J171" s="1443"/>
      <c r="K171" s="1268"/>
      <c r="L171" s="1274"/>
      <c r="M171" s="1445"/>
      <c r="N171" s="1399" t="str">
        <f>IF('別紙様式2-2（４・５月分）'!Q132="","",'別紙様式2-2（４・５月分）'!Q132)</f>
        <v/>
      </c>
      <c r="O171" s="1420"/>
      <c r="P171" s="1426"/>
      <c r="Q171" s="1427"/>
      <c r="R171" s="1428"/>
      <c r="S171" s="1430"/>
      <c r="T171" s="1432"/>
      <c r="U171" s="1434"/>
      <c r="V171" s="1436"/>
      <c r="W171" s="1438"/>
      <c r="X171" s="1376"/>
      <c r="Y171" s="1378"/>
      <c r="Z171" s="1376"/>
      <c r="AA171" s="1378"/>
      <c r="AB171" s="1376"/>
      <c r="AC171" s="1378"/>
      <c r="AD171" s="1376"/>
      <c r="AE171" s="1378"/>
      <c r="AF171" s="1378"/>
      <c r="AG171" s="1378"/>
      <c r="AH171" s="1380"/>
      <c r="AI171" s="1382"/>
      <c r="AJ171" s="1384"/>
      <c r="AK171" s="1386"/>
      <c r="AL171" s="1364"/>
      <c r="AM171" s="1388"/>
      <c r="AN171" s="1360"/>
      <c r="AO171" s="1390"/>
      <c r="AP171" s="1394"/>
      <c r="AQ171" s="1394"/>
      <c r="AR171" s="1396"/>
      <c r="AS171" s="1348"/>
      <c r="AT171" s="1334" t="str">
        <f t="shared" si="104"/>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1"/>
      <c r="C172" s="1302"/>
      <c r="D172" s="1302"/>
      <c r="E172" s="1302"/>
      <c r="F172" s="1303"/>
      <c r="G172" s="1268"/>
      <c r="H172" s="1268"/>
      <c r="I172" s="1268"/>
      <c r="J172" s="1443"/>
      <c r="K172" s="1268"/>
      <c r="L172" s="1274"/>
      <c r="M172" s="1445"/>
      <c r="N172" s="1400"/>
      <c r="O172" s="1421"/>
      <c r="P172" s="1401" t="s">
        <v>2179</v>
      </c>
      <c r="Q172" s="1403" t="str">
        <f>IFERROR(VLOOKUP('別紙様式2-2（４・５月分）'!AR131,【参考】数式用!$AT$5:$AV$22,3,FALSE),"")</f>
        <v/>
      </c>
      <c r="R172" s="1405" t="s">
        <v>2190</v>
      </c>
      <c r="S172" s="1447" t="str">
        <f>IFERROR(VLOOKUP(K170,【参考】数式用!$A$5:$AB$27,MATCH(Q172,【参考】数式用!$B$4:$AB$4,0)+1,0),"")</f>
        <v/>
      </c>
      <c r="T172" s="1409" t="s">
        <v>217</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5" t="s">
        <v>38</v>
      </c>
      <c r="AI172" s="1367" t="str">
        <f>IFERROR(ROUNDDOWN(ROUND(L170*V172,0)*M170,0)*AG172,"")</f>
        <v/>
      </c>
      <c r="AJ172" s="1369" t="str">
        <f>IFERROR(ROUNDDOWN(ROUND((L170*(V172-AX170)),0)*M170,0)*AG172,"")</f>
        <v/>
      </c>
      <c r="AK172" s="1371">
        <f>IFERROR(IF(OR(N170="",N171="",N173=""),0,ROUNDDOWN(ROUNDDOWN(ROUND(L170*VLOOKUP(K170,【参考】数式用!$A$5:$AB$27,MATCH("新加算Ⅳ",【参考】数式用!$B$4:$AB$4,0)+1,0),0)*M170,0)*AG172*0.5,0)),"")</f>
        <v>0</v>
      </c>
      <c r="AL172" s="1361" t="str">
        <f t="shared" ref="AL172" si="124">IF(U172&lt;&gt;"","新規に適用","")</f>
        <v/>
      </c>
      <c r="AM172" s="1373">
        <f>IFERROR(IF(OR(N173="ベア加算",N173=""),0, IF(OR(U170="新加算Ⅰ",U170="新加算Ⅱ",U170="新加算Ⅲ",U170="新加算Ⅳ"),0,ROUNDDOWN(ROUND(L170*VLOOKUP(K170,【参考】数式用!$A$5:$I$27,MATCH("ベア加算",【参考】数式用!$B$4:$I$4,0)+1,0),0)*M170,0)*AG172)),"")</f>
        <v>0</v>
      </c>
      <c r="AN172" s="1345" t="str">
        <f>IF(AND(U172&lt;&gt;"",AN170=""),"新規に適用",IF(AND(U172&lt;&gt;"",AN170&lt;&gt;""),"継続で適用",""))</f>
        <v/>
      </c>
      <c r="AO172" s="1345" t="str">
        <f>IF(AND(U172&lt;&gt;"",AO170=""),"新規に適用",IF(AND(U172&lt;&gt;"",AO170&lt;&gt;""),"継続で適用",""))</f>
        <v/>
      </c>
      <c r="AP172" s="1391"/>
      <c r="AQ172" s="1345" t="str">
        <f>IF(AND(U172&lt;&gt;"",AQ170=""),"新規に適用",IF(AND(U172&lt;&gt;"",AQ170&lt;&gt;""),"継続で適用",""))</f>
        <v/>
      </c>
      <c r="AR172" s="1349" t="str">
        <f t="shared" si="121"/>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316"/>
      <c r="B173" s="1439"/>
      <c r="C173" s="1440"/>
      <c r="D173" s="1440"/>
      <c r="E173" s="1440"/>
      <c r="F173" s="1441"/>
      <c r="G173" s="1269"/>
      <c r="H173" s="1269"/>
      <c r="I173" s="1269"/>
      <c r="J173" s="1444"/>
      <c r="K173" s="1269"/>
      <c r="L173" s="1275"/>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66"/>
      <c r="AI173" s="1368"/>
      <c r="AJ173" s="1370"/>
      <c r="AK173" s="1372"/>
      <c r="AL173" s="1362"/>
      <c r="AM173" s="1374"/>
      <c r="AN173" s="1346"/>
      <c r="AO173" s="1346"/>
      <c r="AP173" s="1392"/>
      <c r="AQ173" s="1346"/>
      <c r="AR173" s="1350"/>
      <c r="AS173" s="1346"/>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314">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4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2173</v>
      </c>
      <c r="U174" s="1433"/>
      <c r="V174" s="1435" t="str">
        <f>IFERROR(VLOOKUP(K174,【参考】数式用!$A$5:$AB$27,MATCH(U174,【参考】数式用!$B$4:$AB$4,0)+1,0),"")</f>
        <v/>
      </c>
      <c r="W174" s="1437" t="s">
        <v>19</v>
      </c>
      <c r="X174" s="1375">
        <v>6</v>
      </c>
      <c r="Y174" s="1377" t="s">
        <v>10</v>
      </c>
      <c r="Z174" s="1375">
        <v>6</v>
      </c>
      <c r="AA174" s="1377" t="s">
        <v>45</v>
      </c>
      <c r="AB174" s="1375">
        <v>7</v>
      </c>
      <c r="AC174" s="1377" t="s">
        <v>10</v>
      </c>
      <c r="AD174" s="1375">
        <v>3</v>
      </c>
      <c r="AE174" s="1377" t="s">
        <v>13</v>
      </c>
      <c r="AF174" s="1377" t="s">
        <v>24</v>
      </c>
      <c r="AG174" s="1377">
        <f>IF(X174&gt;=1,(AB174*12+AD174)-(X174*12+Z174)+1,"")</f>
        <v>10</v>
      </c>
      <c r="AH174" s="1379" t="s">
        <v>38</v>
      </c>
      <c r="AI174" s="1381" t="str">
        <f>IFERROR(ROUNDDOWN(ROUND(L174*V174,0)*M174,0)*AG174,"")</f>
        <v/>
      </c>
      <c r="AJ174" s="1383" t="str">
        <f>IFERROR(ROUNDDOWN(ROUND((L174*(V174-AX174)),0)*M174,0)*AG174,"")</f>
        <v/>
      </c>
      <c r="AK174" s="1385">
        <f>IFERROR(IF(OR(N174="",N175="",N177=""),0,ROUNDDOWN(ROUNDDOWN(ROUND(L174*VLOOKUP(K174,【参考】数式用!$A$5:$AB$27,MATCH("新加算Ⅳ",【参考】数式用!$B$4:$AB$4,0)+1,0),0)*M174,0)*AG174*0.5,0)),"")</f>
        <v>0</v>
      </c>
      <c r="AL174" s="1363"/>
      <c r="AM174" s="138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2"/>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2098</v>
      </c>
      <c r="BA174" s="1247" t="s">
        <v>2099</v>
      </c>
      <c r="BB174" s="1247" t="s">
        <v>2100</v>
      </c>
      <c r="BC174" s="1247" t="s">
        <v>2101</v>
      </c>
      <c r="BD174" s="1247" t="str">
        <f>IF(AND(P174&lt;&gt;"新加算Ⅰ",P174&lt;&gt;"新加算Ⅱ",P174&lt;&gt;"新加算Ⅲ",P174&lt;&gt;"新加算Ⅳ"),P174,IF(Q176&lt;&gt;"",Q176,""))</f>
        <v/>
      </c>
      <c r="BE174" s="1247"/>
      <c r="BF174" s="1247" t="str">
        <f t="shared" ref="BF174" si="126">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315"/>
      <c r="B175" s="1301"/>
      <c r="C175" s="1302"/>
      <c r="D175" s="1302"/>
      <c r="E175" s="1302"/>
      <c r="F175" s="1303"/>
      <c r="G175" s="1268"/>
      <c r="H175" s="1268"/>
      <c r="I175" s="1268"/>
      <c r="J175" s="1443"/>
      <c r="K175" s="1268"/>
      <c r="L175" s="1274"/>
      <c r="M175" s="1277"/>
      <c r="N175" s="1399" t="str">
        <f>IF('別紙様式2-2（４・５月分）'!Q135="","",'別紙様式2-2（４・５月分）'!Q135)</f>
        <v/>
      </c>
      <c r="O175" s="1420"/>
      <c r="P175" s="1426"/>
      <c r="Q175" s="1427"/>
      <c r="R175" s="1428"/>
      <c r="S175" s="1430"/>
      <c r="T175" s="1432"/>
      <c r="U175" s="1434"/>
      <c r="V175" s="1436"/>
      <c r="W175" s="1438"/>
      <c r="X175" s="1376"/>
      <c r="Y175" s="1378"/>
      <c r="Z175" s="1376"/>
      <c r="AA175" s="1378"/>
      <c r="AB175" s="1376"/>
      <c r="AC175" s="1378"/>
      <c r="AD175" s="1376"/>
      <c r="AE175" s="1378"/>
      <c r="AF175" s="1378"/>
      <c r="AG175" s="1378"/>
      <c r="AH175" s="1380"/>
      <c r="AI175" s="1382"/>
      <c r="AJ175" s="1384"/>
      <c r="AK175" s="1386"/>
      <c r="AL175" s="1364"/>
      <c r="AM175" s="1388"/>
      <c r="AN175" s="1360"/>
      <c r="AO175" s="1390"/>
      <c r="AP175" s="1394"/>
      <c r="AQ175" s="1394"/>
      <c r="AR175" s="1396"/>
      <c r="AS175" s="1348"/>
      <c r="AT175" s="1334" t="str">
        <f t="shared" si="104"/>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1"/>
      <c r="C176" s="1302"/>
      <c r="D176" s="1302"/>
      <c r="E176" s="1302"/>
      <c r="F176" s="1303"/>
      <c r="G176" s="1268"/>
      <c r="H176" s="1268"/>
      <c r="I176" s="1268"/>
      <c r="J176" s="1443"/>
      <c r="K176" s="1268"/>
      <c r="L176" s="1274"/>
      <c r="M176" s="1277"/>
      <c r="N176" s="1400"/>
      <c r="O176" s="1421"/>
      <c r="P176" s="1401" t="s">
        <v>2179</v>
      </c>
      <c r="Q176" s="1403" t="str">
        <f>IFERROR(VLOOKUP('別紙様式2-2（４・５月分）'!AR134,【参考】数式用!$AT$5:$AV$22,3,FALSE),"")</f>
        <v/>
      </c>
      <c r="R176" s="1405" t="s">
        <v>2190</v>
      </c>
      <c r="S176" s="1407" t="str">
        <f>IFERROR(VLOOKUP(K174,【参考】数式用!$A$5:$AB$27,MATCH(Q176,【参考】数式用!$B$4:$AB$4,0)+1,0),"")</f>
        <v/>
      </c>
      <c r="T176" s="1409" t="s">
        <v>217</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5" t="s">
        <v>38</v>
      </c>
      <c r="AI176" s="1367" t="str">
        <f>IFERROR(ROUNDDOWN(ROUND(L174*V176,0)*M174,0)*AG176,"")</f>
        <v/>
      </c>
      <c r="AJ176" s="1369" t="str">
        <f>IFERROR(ROUNDDOWN(ROUND((L174*(V176-AX174)),0)*M174,0)*AG176,"")</f>
        <v/>
      </c>
      <c r="AK176" s="1371">
        <f>IFERROR(IF(OR(N174="",N175="",N177=""),0,ROUNDDOWN(ROUNDDOWN(ROUND(L174*VLOOKUP(K174,【参考】数式用!$A$5:$AB$27,MATCH("新加算Ⅳ",【参考】数式用!$B$4:$AB$4,0)+1,0),0)*M174,0)*AG176*0.5,0)),"")</f>
        <v>0</v>
      </c>
      <c r="AL176" s="1361" t="str">
        <f t="shared" ref="AL176" si="127">IF(U176&lt;&gt;"","新規に適用","")</f>
        <v/>
      </c>
      <c r="AM176" s="1373">
        <f>IFERROR(IF(OR(N177="ベア加算",N177=""),0, IF(OR(U174="新加算Ⅰ",U174="新加算Ⅱ",U174="新加算Ⅲ",U174="新加算Ⅳ"),0,ROUNDDOWN(ROUND(L174*VLOOKUP(K174,【参考】数式用!$A$5:$I$27,MATCH("ベア加算",【参考】数式用!$B$4:$I$4,0)+1,0),0)*M174,0)*AG176)),"")</f>
        <v>0</v>
      </c>
      <c r="AN176" s="1345" t="str">
        <f>IF(AND(U176&lt;&gt;"",AN174=""),"新規に適用",IF(AND(U176&lt;&gt;"",AN174&lt;&gt;""),"継続で適用",""))</f>
        <v/>
      </c>
      <c r="AO176" s="1345" t="str">
        <f>IF(AND(U176&lt;&gt;"",AO174=""),"新規に適用",IF(AND(U176&lt;&gt;"",AO174&lt;&gt;""),"継続で適用",""))</f>
        <v/>
      </c>
      <c r="AP176" s="1391"/>
      <c r="AQ176" s="1345" t="str">
        <f>IF(AND(U176&lt;&gt;"",AQ174=""),"新規に適用",IF(AND(U176&lt;&gt;"",AQ174&lt;&gt;""),"継続で適用",""))</f>
        <v/>
      </c>
      <c r="AR176" s="1349" t="str">
        <f t="shared" si="121"/>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316"/>
      <c r="B177" s="1439"/>
      <c r="C177" s="1440"/>
      <c r="D177" s="1440"/>
      <c r="E177" s="1440"/>
      <c r="F177" s="1441"/>
      <c r="G177" s="1269"/>
      <c r="H177" s="1269"/>
      <c r="I177" s="1269"/>
      <c r="J177" s="1444"/>
      <c r="K177" s="1269"/>
      <c r="L177" s="1275"/>
      <c r="M177" s="1278"/>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66"/>
      <c r="AI177" s="1368"/>
      <c r="AJ177" s="1370"/>
      <c r="AK177" s="1372"/>
      <c r="AL177" s="1362"/>
      <c r="AM177" s="1374"/>
      <c r="AN177" s="1346"/>
      <c r="AO177" s="1346"/>
      <c r="AP177" s="1392"/>
      <c r="AQ177" s="1346"/>
      <c r="AR177" s="1350"/>
      <c r="AS177" s="1346"/>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43" t="str">
        <f>IF(基本情報入力シート!X95="","",基本情報入力シート!X95)</f>
        <v/>
      </c>
      <c r="K178" s="1268" t="str">
        <f>IF(基本情報入力シート!Y95="","",基本情報入力シート!Y95)</f>
        <v/>
      </c>
      <c r="L178" s="1274"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2173</v>
      </c>
      <c r="U178" s="1433"/>
      <c r="V178" s="1435" t="str">
        <f>IFERROR(VLOOKUP(K178,【参考】数式用!$A$5:$AB$27,MATCH(U178,【参考】数式用!$B$4:$AB$4,0)+1,0),"")</f>
        <v/>
      </c>
      <c r="W178" s="1437" t="s">
        <v>19</v>
      </c>
      <c r="X178" s="1375">
        <v>6</v>
      </c>
      <c r="Y178" s="1377" t="s">
        <v>10</v>
      </c>
      <c r="Z178" s="1375">
        <v>6</v>
      </c>
      <c r="AA178" s="1377" t="s">
        <v>45</v>
      </c>
      <c r="AB178" s="1375">
        <v>7</v>
      </c>
      <c r="AC178" s="1377" t="s">
        <v>10</v>
      </c>
      <c r="AD178" s="1375">
        <v>3</v>
      </c>
      <c r="AE178" s="1377" t="s">
        <v>13</v>
      </c>
      <c r="AF178" s="1377" t="s">
        <v>24</v>
      </c>
      <c r="AG178" s="1377">
        <f>IF(X178&gt;=1,(AB178*12+AD178)-(X178*12+Z178)+1,"")</f>
        <v>10</v>
      </c>
      <c r="AH178" s="1379" t="s">
        <v>38</v>
      </c>
      <c r="AI178" s="1381" t="str">
        <f>IFERROR(ROUNDDOWN(ROUND(L178*V178,0)*M178,0)*AG178,"")</f>
        <v/>
      </c>
      <c r="AJ178" s="1383" t="str">
        <f>IFERROR(ROUNDDOWN(ROUND((L178*(V178-AX178)),0)*M178,0)*AG178,"")</f>
        <v/>
      </c>
      <c r="AK178" s="1385">
        <f>IFERROR(IF(OR(N178="",N179="",N181=""),0,ROUNDDOWN(ROUNDDOWN(ROUND(L178*VLOOKUP(K178,【参考】数式用!$A$5:$AB$27,MATCH("新加算Ⅳ",【参考】数式用!$B$4:$AB$4,0)+1,0),0)*M178,0)*AG178*0.5,0)),"")</f>
        <v>0</v>
      </c>
      <c r="AL178" s="1363"/>
      <c r="AM178" s="138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2"/>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2098</v>
      </c>
      <c r="BA178" s="1247" t="s">
        <v>2099</v>
      </c>
      <c r="BB178" s="1247" t="s">
        <v>2100</v>
      </c>
      <c r="BC178" s="1247" t="s">
        <v>2101</v>
      </c>
      <c r="BD178" s="1247" t="str">
        <f>IF(AND(P178&lt;&gt;"新加算Ⅰ",P178&lt;&gt;"新加算Ⅱ",P178&lt;&gt;"新加算Ⅲ",P178&lt;&gt;"新加算Ⅳ"),P178,IF(Q180&lt;&gt;"",Q180,""))</f>
        <v/>
      </c>
      <c r="BE178" s="1247"/>
      <c r="BF178" s="1247" t="str">
        <f t="shared" ref="BF178" si="129">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315"/>
      <c r="B179" s="1301"/>
      <c r="C179" s="1302"/>
      <c r="D179" s="1302"/>
      <c r="E179" s="1302"/>
      <c r="F179" s="1303"/>
      <c r="G179" s="1268"/>
      <c r="H179" s="1268"/>
      <c r="I179" s="1268"/>
      <c r="J179" s="1443"/>
      <c r="K179" s="1268"/>
      <c r="L179" s="1274"/>
      <c r="M179" s="1445"/>
      <c r="N179" s="1399" t="str">
        <f>IF('別紙様式2-2（４・５月分）'!Q138="","",'別紙様式2-2（４・５月分）'!Q138)</f>
        <v/>
      </c>
      <c r="O179" s="1420"/>
      <c r="P179" s="1426"/>
      <c r="Q179" s="1427"/>
      <c r="R179" s="1428"/>
      <c r="S179" s="1430"/>
      <c r="T179" s="1432"/>
      <c r="U179" s="1434"/>
      <c r="V179" s="1436"/>
      <c r="W179" s="1438"/>
      <c r="X179" s="1376"/>
      <c r="Y179" s="1378"/>
      <c r="Z179" s="1376"/>
      <c r="AA179" s="1378"/>
      <c r="AB179" s="1376"/>
      <c r="AC179" s="1378"/>
      <c r="AD179" s="1376"/>
      <c r="AE179" s="1378"/>
      <c r="AF179" s="1378"/>
      <c r="AG179" s="1378"/>
      <c r="AH179" s="1380"/>
      <c r="AI179" s="1382"/>
      <c r="AJ179" s="1384"/>
      <c r="AK179" s="1386"/>
      <c r="AL179" s="1364"/>
      <c r="AM179" s="1388"/>
      <c r="AN179" s="1360"/>
      <c r="AO179" s="1390"/>
      <c r="AP179" s="1394"/>
      <c r="AQ179" s="1394"/>
      <c r="AR179" s="1396"/>
      <c r="AS179" s="1348"/>
      <c r="AT179" s="1334" t="str">
        <f t="shared" si="104"/>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1"/>
      <c r="C180" s="1302"/>
      <c r="D180" s="1302"/>
      <c r="E180" s="1302"/>
      <c r="F180" s="1303"/>
      <c r="G180" s="1268"/>
      <c r="H180" s="1268"/>
      <c r="I180" s="1268"/>
      <c r="J180" s="1443"/>
      <c r="K180" s="1268"/>
      <c r="L180" s="1274"/>
      <c r="M180" s="1445"/>
      <c r="N180" s="1400"/>
      <c r="O180" s="1421"/>
      <c r="P180" s="1401" t="s">
        <v>2179</v>
      </c>
      <c r="Q180" s="1403" t="str">
        <f>IFERROR(VLOOKUP('別紙様式2-2（４・５月分）'!AR137,【参考】数式用!$AT$5:$AV$22,3,FALSE),"")</f>
        <v/>
      </c>
      <c r="R180" s="1405" t="s">
        <v>2190</v>
      </c>
      <c r="S180" s="1447" t="str">
        <f>IFERROR(VLOOKUP(K178,【参考】数式用!$A$5:$AB$27,MATCH(Q180,【参考】数式用!$B$4:$AB$4,0)+1,0),"")</f>
        <v/>
      </c>
      <c r="T180" s="1409" t="s">
        <v>217</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5" t="s">
        <v>38</v>
      </c>
      <c r="AI180" s="1367" t="str">
        <f>IFERROR(ROUNDDOWN(ROUND(L178*V180,0)*M178,0)*AG180,"")</f>
        <v/>
      </c>
      <c r="AJ180" s="1369" t="str">
        <f>IFERROR(ROUNDDOWN(ROUND((L178*(V180-AX178)),0)*M178,0)*AG180,"")</f>
        <v/>
      </c>
      <c r="AK180" s="1371">
        <f>IFERROR(IF(OR(N178="",N179="",N181=""),0,ROUNDDOWN(ROUNDDOWN(ROUND(L178*VLOOKUP(K178,【参考】数式用!$A$5:$AB$27,MATCH("新加算Ⅳ",【参考】数式用!$B$4:$AB$4,0)+1,0),0)*M178,0)*AG180*0.5,0)),"")</f>
        <v>0</v>
      </c>
      <c r="AL180" s="1361" t="str">
        <f t="shared" ref="AL180" si="130">IF(U180&lt;&gt;"","新規に適用","")</f>
        <v/>
      </c>
      <c r="AM180" s="1373">
        <f>IFERROR(IF(OR(N181="ベア加算",N181=""),0, IF(OR(U178="新加算Ⅰ",U178="新加算Ⅱ",U178="新加算Ⅲ",U178="新加算Ⅳ"),0,ROUNDDOWN(ROUND(L178*VLOOKUP(K178,【参考】数式用!$A$5:$I$27,MATCH("ベア加算",【参考】数式用!$B$4:$I$4,0)+1,0),0)*M178,0)*AG180)),"")</f>
        <v>0</v>
      </c>
      <c r="AN180" s="1345" t="str">
        <f>IF(AND(U180&lt;&gt;"",AN178=""),"新規に適用",IF(AND(U180&lt;&gt;"",AN178&lt;&gt;""),"継続で適用",""))</f>
        <v/>
      </c>
      <c r="AO180" s="1345" t="str">
        <f>IF(AND(U180&lt;&gt;"",AO178=""),"新規に適用",IF(AND(U180&lt;&gt;"",AO178&lt;&gt;""),"継続で適用",""))</f>
        <v/>
      </c>
      <c r="AP180" s="1391"/>
      <c r="AQ180" s="1345" t="str">
        <f>IF(AND(U180&lt;&gt;"",AQ178=""),"新規に適用",IF(AND(U180&lt;&gt;"",AQ178&lt;&gt;""),"継続で適用",""))</f>
        <v/>
      </c>
      <c r="AR180" s="1349" t="str">
        <f t="shared" si="121"/>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316"/>
      <c r="B181" s="1439"/>
      <c r="C181" s="1440"/>
      <c r="D181" s="1440"/>
      <c r="E181" s="1440"/>
      <c r="F181" s="1441"/>
      <c r="G181" s="1269"/>
      <c r="H181" s="1269"/>
      <c r="I181" s="1269"/>
      <c r="J181" s="1444"/>
      <c r="K181" s="1269"/>
      <c r="L181" s="1275"/>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66"/>
      <c r="AI181" s="1368"/>
      <c r="AJ181" s="1370"/>
      <c r="AK181" s="1372"/>
      <c r="AL181" s="1362"/>
      <c r="AM181" s="1374"/>
      <c r="AN181" s="1346"/>
      <c r="AO181" s="1346"/>
      <c r="AP181" s="1392"/>
      <c r="AQ181" s="1346"/>
      <c r="AR181" s="1350"/>
      <c r="AS181" s="1346"/>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314">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4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2173</v>
      </c>
      <c r="U182" s="1433"/>
      <c r="V182" s="1435" t="str">
        <f>IFERROR(VLOOKUP(K182,【参考】数式用!$A$5:$AB$27,MATCH(U182,【参考】数式用!$B$4:$AB$4,0)+1,0),"")</f>
        <v/>
      </c>
      <c r="W182" s="1437" t="s">
        <v>19</v>
      </c>
      <c r="X182" s="1375">
        <v>6</v>
      </c>
      <c r="Y182" s="1377" t="s">
        <v>10</v>
      </c>
      <c r="Z182" s="1375">
        <v>6</v>
      </c>
      <c r="AA182" s="1377" t="s">
        <v>45</v>
      </c>
      <c r="AB182" s="1375">
        <v>7</v>
      </c>
      <c r="AC182" s="1377" t="s">
        <v>10</v>
      </c>
      <c r="AD182" s="1375">
        <v>3</v>
      </c>
      <c r="AE182" s="1377" t="s">
        <v>13</v>
      </c>
      <c r="AF182" s="1377" t="s">
        <v>24</v>
      </c>
      <c r="AG182" s="1377">
        <f>IF(X182&gt;=1,(AB182*12+AD182)-(X182*12+Z182)+1,"")</f>
        <v>10</v>
      </c>
      <c r="AH182" s="1379" t="s">
        <v>38</v>
      </c>
      <c r="AI182" s="1381" t="str">
        <f>IFERROR(ROUNDDOWN(ROUND(L182*V182,0)*M182,0)*AG182,"")</f>
        <v/>
      </c>
      <c r="AJ182" s="1383" t="str">
        <f>IFERROR(ROUNDDOWN(ROUND((L182*(V182-AX182)),0)*M182,0)*AG182,"")</f>
        <v/>
      </c>
      <c r="AK182" s="1385">
        <f>IFERROR(IF(OR(N182="",N183="",N185=""),0,ROUNDDOWN(ROUNDDOWN(ROUND(L182*VLOOKUP(K182,【参考】数式用!$A$5:$AB$27,MATCH("新加算Ⅳ",【参考】数式用!$B$4:$AB$4,0)+1,0),0)*M182,0)*AG182*0.5,0)),"")</f>
        <v>0</v>
      </c>
      <c r="AL182" s="1363"/>
      <c r="AM182" s="138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2"/>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2098</v>
      </c>
      <c r="BA182" s="1247" t="s">
        <v>2099</v>
      </c>
      <c r="BB182" s="1247" t="s">
        <v>2100</v>
      </c>
      <c r="BC182" s="1247" t="s">
        <v>2101</v>
      </c>
      <c r="BD182" s="1247" t="str">
        <f>IF(AND(P182&lt;&gt;"新加算Ⅰ",P182&lt;&gt;"新加算Ⅱ",P182&lt;&gt;"新加算Ⅲ",P182&lt;&gt;"新加算Ⅳ"),P182,IF(Q184&lt;&gt;"",Q184,""))</f>
        <v/>
      </c>
      <c r="BE182" s="1247"/>
      <c r="BF182" s="1247" t="str">
        <f t="shared" ref="BF182" si="132">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315"/>
      <c r="B183" s="1301"/>
      <c r="C183" s="1302"/>
      <c r="D183" s="1302"/>
      <c r="E183" s="1302"/>
      <c r="F183" s="1303"/>
      <c r="G183" s="1268"/>
      <c r="H183" s="1268"/>
      <c r="I183" s="1268"/>
      <c r="J183" s="1443"/>
      <c r="K183" s="1268"/>
      <c r="L183" s="1274"/>
      <c r="M183" s="1277"/>
      <c r="N183" s="1399" t="str">
        <f>IF('別紙様式2-2（４・５月分）'!Q141="","",'別紙様式2-2（４・５月分）'!Q141)</f>
        <v/>
      </c>
      <c r="O183" s="1420"/>
      <c r="P183" s="1426"/>
      <c r="Q183" s="1427"/>
      <c r="R183" s="1428"/>
      <c r="S183" s="1430"/>
      <c r="T183" s="1432"/>
      <c r="U183" s="1434"/>
      <c r="V183" s="1436"/>
      <c r="W183" s="1438"/>
      <c r="X183" s="1376"/>
      <c r="Y183" s="1378"/>
      <c r="Z183" s="1376"/>
      <c r="AA183" s="1378"/>
      <c r="AB183" s="1376"/>
      <c r="AC183" s="1378"/>
      <c r="AD183" s="1376"/>
      <c r="AE183" s="1378"/>
      <c r="AF183" s="1378"/>
      <c r="AG183" s="1378"/>
      <c r="AH183" s="1380"/>
      <c r="AI183" s="1382"/>
      <c r="AJ183" s="1384"/>
      <c r="AK183" s="1386"/>
      <c r="AL183" s="1364"/>
      <c r="AM183" s="1388"/>
      <c r="AN183" s="1360"/>
      <c r="AO183" s="1390"/>
      <c r="AP183" s="1394"/>
      <c r="AQ183" s="1394"/>
      <c r="AR183" s="1396"/>
      <c r="AS183" s="1348"/>
      <c r="AT183" s="1334" t="str">
        <f t="shared" si="104"/>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1"/>
      <c r="C184" s="1302"/>
      <c r="D184" s="1302"/>
      <c r="E184" s="1302"/>
      <c r="F184" s="1303"/>
      <c r="G184" s="1268"/>
      <c r="H184" s="1268"/>
      <c r="I184" s="1268"/>
      <c r="J184" s="1443"/>
      <c r="K184" s="1268"/>
      <c r="L184" s="1274"/>
      <c r="M184" s="1277"/>
      <c r="N184" s="1400"/>
      <c r="O184" s="1421"/>
      <c r="P184" s="1401" t="s">
        <v>2179</v>
      </c>
      <c r="Q184" s="1403" t="str">
        <f>IFERROR(VLOOKUP('別紙様式2-2（４・５月分）'!AR140,【参考】数式用!$AT$5:$AV$22,3,FALSE),"")</f>
        <v/>
      </c>
      <c r="R184" s="1405" t="s">
        <v>2190</v>
      </c>
      <c r="S184" s="1407" t="str">
        <f>IFERROR(VLOOKUP(K182,【参考】数式用!$A$5:$AB$27,MATCH(Q184,【参考】数式用!$B$4:$AB$4,0)+1,0),"")</f>
        <v/>
      </c>
      <c r="T184" s="1409" t="s">
        <v>217</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5" t="s">
        <v>38</v>
      </c>
      <c r="AI184" s="1367" t="str">
        <f>IFERROR(ROUNDDOWN(ROUND(L182*V184,0)*M182,0)*AG184,"")</f>
        <v/>
      </c>
      <c r="AJ184" s="1369" t="str">
        <f>IFERROR(ROUNDDOWN(ROUND((L182*(V184-AX182)),0)*M182,0)*AG184,"")</f>
        <v/>
      </c>
      <c r="AK184" s="1371">
        <f>IFERROR(IF(OR(N182="",N183="",N185=""),0,ROUNDDOWN(ROUNDDOWN(ROUND(L182*VLOOKUP(K182,【参考】数式用!$A$5:$AB$27,MATCH("新加算Ⅳ",【参考】数式用!$B$4:$AB$4,0)+1,0),0)*M182,0)*AG184*0.5,0)),"")</f>
        <v>0</v>
      </c>
      <c r="AL184" s="1361" t="str">
        <f t="shared" ref="AL184" si="133">IF(U184&lt;&gt;"","新規に適用","")</f>
        <v/>
      </c>
      <c r="AM184" s="1373">
        <f>IFERROR(IF(OR(N185="ベア加算",N185=""),0, IF(OR(U182="新加算Ⅰ",U182="新加算Ⅱ",U182="新加算Ⅲ",U182="新加算Ⅳ"),0,ROUNDDOWN(ROUND(L182*VLOOKUP(K182,【参考】数式用!$A$5:$I$27,MATCH("ベア加算",【参考】数式用!$B$4:$I$4,0)+1,0),0)*M182,0)*AG184)),"")</f>
        <v>0</v>
      </c>
      <c r="AN184" s="1345" t="str">
        <f>IF(AND(U184&lt;&gt;"",AN182=""),"新規に適用",IF(AND(U184&lt;&gt;"",AN182&lt;&gt;""),"継続で適用",""))</f>
        <v/>
      </c>
      <c r="AO184" s="1345" t="str">
        <f>IF(AND(U184&lt;&gt;"",AO182=""),"新規に適用",IF(AND(U184&lt;&gt;"",AO182&lt;&gt;""),"継続で適用",""))</f>
        <v/>
      </c>
      <c r="AP184" s="1391"/>
      <c r="AQ184" s="1345" t="str">
        <f>IF(AND(U184&lt;&gt;"",AQ182=""),"新規に適用",IF(AND(U184&lt;&gt;"",AQ182&lt;&gt;""),"継続で適用",""))</f>
        <v/>
      </c>
      <c r="AR184" s="1349" t="str">
        <f t="shared" si="121"/>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316"/>
      <c r="B185" s="1439"/>
      <c r="C185" s="1440"/>
      <c r="D185" s="1440"/>
      <c r="E185" s="1440"/>
      <c r="F185" s="1441"/>
      <c r="G185" s="1269"/>
      <c r="H185" s="1269"/>
      <c r="I185" s="1269"/>
      <c r="J185" s="1444"/>
      <c r="K185" s="1269"/>
      <c r="L185" s="1275"/>
      <c r="M185" s="1278"/>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66"/>
      <c r="AI185" s="1368"/>
      <c r="AJ185" s="1370"/>
      <c r="AK185" s="1372"/>
      <c r="AL185" s="1362"/>
      <c r="AM185" s="1374"/>
      <c r="AN185" s="1346"/>
      <c r="AO185" s="1346"/>
      <c r="AP185" s="1392"/>
      <c r="AQ185" s="1346"/>
      <c r="AR185" s="1350"/>
      <c r="AS185" s="1346"/>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43" t="str">
        <f>IF(基本情報入力シート!X97="","",基本情報入力シート!X97)</f>
        <v/>
      </c>
      <c r="K186" s="1268" t="str">
        <f>IF(基本情報入力シート!Y97="","",基本情報入力シート!Y97)</f>
        <v/>
      </c>
      <c r="L186" s="1274"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2173</v>
      </c>
      <c r="U186" s="1433"/>
      <c r="V186" s="1435" t="str">
        <f>IFERROR(VLOOKUP(K186,【参考】数式用!$A$5:$AB$27,MATCH(U186,【参考】数式用!$B$4:$AB$4,0)+1,0),"")</f>
        <v/>
      </c>
      <c r="W186" s="1437" t="s">
        <v>19</v>
      </c>
      <c r="X186" s="1375">
        <v>6</v>
      </c>
      <c r="Y186" s="1377" t="s">
        <v>10</v>
      </c>
      <c r="Z186" s="1375">
        <v>6</v>
      </c>
      <c r="AA186" s="1377" t="s">
        <v>45</v>
      </c>
      <c r="AB186" s="1375">
        <v>7</v>
      </c>
      <c r="AC186" s="1377" t="s">
        <v>10</v>
      </c>
      <c r="AD186" s="1375">
        <v>3</v>
      </c>
      <c r="AE186" s="1377" t="s">
        <v>13</v>
      </c>
      <c r="AF186" s="1377" t="s">
        <v>24</v>
      </c>
      <c r="AG186" s="1377">
        <f>IF(X186&gt;=1,(AB186*12+AD186)-(X186*12+Z186)+1,"")</f>
        <v>10</v>
      </c>
      <c r="AH186" s="1379" t="s">
        <v>38</v>
      </c>
      <c r="AI186" s="1381" t="str">
        <f>IFERROR(ROUNDDOWN(ROUND(L186*V186,0)*M186,0)*AG186,"")</f>
        <v/>
      </c>
      <c r="AJ186" s="1383" t="str">
        <f>IFERROR(ROUNDDOWN(ROUND((L186*(V186-AX186)),0)*M186,0)*AG186,"")</f>
        <v/>
      </c>
      <c r="AK186" s="1385">
        <f>IFERROR(IF(OR(N186="",N187="",N189=""),0,ROUNDDOWN(ROUNDDOWN(ROUND(L186*VLOOKUP(K186,【参考】数式用!$A$5:$AB$27,MATCH("新加算Ⅳ",【参考】数式用!$B$4:$AB$4,0)+1,0),0)*M186,0)*AG186*0.5,0)),"")</f>
        <v>0</v>
      </c>
      <c r="AL186" s="1363"/>
      <c r="AM186" s="138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2"/>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2098</v>
      </c>
      <c r="BA186" s="1247" t="s">
        <v>2099</v>
      </c>
      <c r="BB186" s="1247" t="s">
        <v>2100</v>
      </c>
      <c r="BC186" s="1247" t="s">
        <v>2101</v>
      </c>
      <c r="BD186" s="1247" t="str">
        <f>IF(AND(P186&lt;&gt;"新加算Ⅰ",P186&lt;&gt;"新加算Ⅱ",P186&lt;&gt;"新加算Ⅲ",P186&lt;&gt;"新加算Ⅳ"),P186,IF(Q188&lt;&gt;"",Q188,""))</f>
        <v/>
      </c>
      <c r="BE186" s="1247"/>
      <c r="BF186" s="1247" t="str">
        <f t="shared" ref="BF186" si="135">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315"/>
      <c r="B187" s="1301"/>
      <c r="C187" s="1302"/>
      <c r="D187" s="1302"/>
      <c r="E187" s="1302"/>
      <c r="F187" s="1303"/>
      <c r="G187" s="1268"/>
      <c r="H187" s="1268"/>
      <c r="I187" s="1268"/>
      <c r="J187" s="1443"/>
      <c r="K187" s="1268"/>
      <c r="L187" s="1274"/>
      <c r="M187" s="1445"/>
      <c r="N187" s="1399" t="str">
        <f>IF('別紙様式2-2（４・５月分）'!Q144="","",'別紙様式2-2（４・５月分）'!Q144)</f>
        <v/>
      </c>
      <c r="O187" s="1420"/>
      <c r="P187" s="1426"/>
      <c r="Q187" s="1427"/>
      <c r="R187" s="1428"/>
      <c r="S187" s="1430"/>
      <c r="T187" s="1432"/>
      <c r="U187" s="1434"/>
      <c r="V187" s="1436"/>
      <c r="W187" s="1438"/>
      <c r="X187" s="1376"/>
      <c r="Y187" s="1378"/>
      <c r="Z187" s="1376"/>
      <c r="AA187" s="1378"/>
      <c r="AB187" s="1376"/>
      <c r="AC187" s="1378"/>
      <c r="AD187" s="1376"/>
      <c r="AE187" s="1378"/>
      <c r="AF187" s="1378"/>
      <c r="AG187" s="1378"/>
      <c r="AH187" s="1380"/>
      <c r="AI187" s="1382"/>
      <c r="AJ187" s="1384"/>
      <c r="AK187" s="1386"/>
      <c r="AL187" s="1364"/>
      <c r="AM187" s="1388"/>
      <c r="AN187" s="1360"/>
      <c r="AO187" s="1390"/>
      <c r="AP187" s="1394"/>
      <c r="AQ187" s="1394"/>
      <c r="AR187" s="1396"/>
      <c r="AS187" s="1348"/>
      <c r="AT187" s="1334" t="str">
        <f t="shared" si="104"/>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1"/>
      <c r="C188" s="1302"/>
      <c r="D188" s="1302"/>
      <c r="E188" s="1302"/>
      <c r="F188" s="1303"/>
      <c r="G188" s="1268"/>
      <c r="H188" s="1268"/>
      <c r="I188" s="1268"/>
      <c r="J188" s="1443"/>
      <c r="K188" s="1268"/>
      <c r="L188" s="1274"/>
      <c r="M188" s="1445"/>
      <c r="N188" s="1400"/>
      <c r="O188" s="1421"/>
      <c r="P188" s="1401" t="s">
        <v>2179</v>
      </c>
      <c r="Q188" s="1403" t="str">
        <f>IFERROR(VLOOKUP('別紙様式2-2（４・５月分）'!AR143,【参考】数式用!$AT$5:$AV$22,3,FALSE),"")</f>
        <v/>
      </c>
      <c r="R188" s="1405" t="s">
        <v>2190</v>
      </c>
      <c r="S188" s="1447" t="str">
        <f>IFERROR(VLOOKUP(K186,【参考】数式用!$A$5:$AB$27,MATCH(Q188,【参考】数式用!$B$4:$AB$4,0)+1,0),"")</f>
        <v/>
      </c>
      <c r="T188" s="1409" t="s">
        <v>217</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5" t="s">
        <v>38</v>
      </c>
      <c r="AI188" s="1367" t="str">
        <f>IFERROR(ROUNDDOWN(ROUND(L186*V188,0)*M186,0)*AG188,"")</f>
        <v/>
      </c>
      <c r="AJ188" s="1369" t="str">
        <f>IFERROR(ROUNDDOWN(ROUND((L186*(V188-AX186)),0)*M186,0)*AG188,"")</f>
        <v/>
      </c>
      <c r="AK188" s="1371">
        <f>IFERROR(IF(OR(N186="",N187="",N189=""),0,ROUNDDOWN(ROUNDDOWN(ROUND(L186*VLOOKUP(K186,【参考】数式用!$A$5:$AB$27,MATCH("新加算Ⅳ",【参考】数式用!$B$4:$AB$4,0)+1,0),0)*M186,0)*AG188*0.5,0)),"")</f>
        <v>0</v>
      </c>
      <c r="AL188" s="1361" t="str">
        <f t="shared" ref="AL188" si="136">IF(U188&lt;&gt;"","新規に適用","")</f>
        <v/>
      </c>
      <c r="AM188" s="1373">
        <f>IFERROR(IF(OR(N189="ベア加算",N189=""),0, IF(OR(U186="新加算Ⅰ",U186="新加算Ⅱ",U186="新加算Ⅲ",U186="新加算Ⅳ"),0,ROUNDDOWN(ROUND(L186*VLOOKUP(K186,【参考】数式用!$A$5:$I$27,MATCH("ベア加算",【参考】数式用!$B$4:$I$4,0)+1,0),0)*M186,0)*AG188)),"")</f>
        <v>0</v>
      </c>
      <c r="AN188" s="1345" t="str">
        <f>IF(AND(U188&lt;&gt;"",AN186=""),"新規に適用",IF(AND(U188&lt;&gt;"",AN186&lt;&gt;""),"継続で適用",""))</f>
        <v/>
      </c>
      <c r="AO188" s="1345" t="str">
        <f>IF(AND(U188&lt;&gt;"",AO186=""),"新規に適用",IF(AND(U188&lt;&gt;"",AO186&lt;&gt;""),"継続で適用",""))</f>
        <v/>
      </c>
      <c r="AP188" s="1391"/>
      <c r="AQ188" s="1345" t="str">
        <f>IF(AND(U188&lt;&gt;"",AQ186=""),"新規に適用",IF(AND(U188&lt;&gt;"",AQ186&lt;&gt;""),"継続で適用",""))</f>
        <v/>
      </c>
      <c r="AR188" s="1349" t="str">
        <f t="shared" si="121"/>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316"/>
      <c r="B189" s="1439"/>
      <c r="C189" s="1440"/>
      <c r="D189" s="1440"/>
      <c r="E189" s="1440"/>
      <c r="F189" s="1441"/>
      <c r="G189" s="1269"/>
      <c r="H189" s="1269"/>
      <c r="I189" s="1269"/>
      <c r="J189" s="1444"/>
      <c r="K189" s="1269"/>
      <c r="L189" s="1275"/>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66"/>
      <c r="AI189" s="1368"/>
      <c r="AJ189" s="1370"/>
      <c r="AK189" s="1372"/>
      <c r="AL189" s="1362"/>
      <c r="AM189" s="1374"/>
      <c r="AN189" s="1346"/>
      <c r="AO189" s="1346"/>
      <c r="AP189" s="1392"/>
      <c r="AQ189" s="1346"/>
      <c r="AR189" s="1350"/>
      <c r="AS189" s="1346"/>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314">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4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2173</v>
      </c>
      <c r="U190" s="1433"/>
      <c r="V190" s="1435" t="str">
        <f>IFERROR(VLOOKUP(K190,【参考】数式用!$A$5:$AB$27,MATCH(U190,【参考】数式用!$B$4:$AB$4,0)+1,0),"")</f>
        <v/>
      </c>
      <c r="W190" s="1437" t="s">
        <v>19</v>
      </c>
      <c r="X190" s="1375">
        <v>6</v>
      </c>
      <c r="Y190" s="1377" t="s">
        <v>10</v>
      </c>
      <c r="Z190" s="1375">
        <v>6</v>
      </c>
      <c r="AA190" s="1377" t="s">
        <v>45</v>
      </c>
      <c r="AB190" s="1375">
        <v>7</v>
      </c>
      <c r="AC190" s="1377" t="s">
        <v>10</v>
      </c>
      <c r="AD190" s="1375">
        <v>3</v>
      </c>
      <c r="AE190" s="1377" t="s">
        <v>13</v>
      </c>
      <c r="AF190" s="1377" t="s">
        <v>24</v>
      </c>
      <c r="AG190" s="1377">
        <f>IF(X190&gt;=1,(AB190*12+AD190)-(X190*12+Z190)+1,"")</f>
        <v>10</v>
      </c>
      <c r="AH190" s="1379" t="s">
        <v>38</v>
      </c>
      <c r="AI190" s="1381" t="str">
        <f>IFERROR(ROUNDDOWN(ROUND(L190*V190,0)*M190,0)*AG190,"")</f>
        <v/>
      </c>
      <c r="AJ190" s="1383" t="str">
        <f>IFERROR(ROUNDDOWN(ROUND((L190*(V190-AX190)),0)*M190,0)*AG190,"")</f>
        <v/>
      </c>
      <c r="AK190" s="1385">
        <f>IFERROR(IF(OR(N190="",N191="",N193=""),0,ROUNDDOWN(ROUNDDOWN(ROUND(L190*VLOOKUP(K190,【参考】数式用!$A$5:$AB$27,MATCH("新加算Ⅳ",【参考】数式用!$B$4:$AB$4,0)+1,0),0)*M190,0)*AG190*0.5,0)),"")</f>
        <v>0</v>
      </c>
      <c r="AL190" s="1363"/>
      <c r="AM190" s="138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2"/>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2098</v>
      </c>
      <c r="BA190" s="1247" t="s">
        <v>2099</v>
      </c>
      <c r="BB190" s="1247" t="s">
        <v>2100</v>
      </c>
      <c r="BC190" s="1247" t="s">
        <v>2101</v>
      </c>
      <c r="BD190" s="1247" t="str">
        <f>IF(AND(P190&lt;&gt;"新加算Ⅰ",P190&lt;&gt;"新加算Ⅱ",P190&lt;&gt;"新加算Ⅲ",P190&lt;&gt;"新加算Ⅳ"),P190,IF(Q192&lt;&gt;"",Q192,""))</f>
        <v/>
      </c>
      <c r="BE190" s="1247"/>
      <c r="BF190" s="1247" t="str">
        <f t="shared" ref="BF190" si="138">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315"/>
      <c r="B191" s="1301"/>
      <c r="C191" s="1302"/>
      <c r="D191" s="1302"/>
      <c r="E191" s="1302"/>
      <c r="F191" s="1303"/>
      <c r="G191" s="1268"/>
      <c r="H191" s="1268"/>
      <c r="I191" s="1268"/>
      <c r="J191" s="1443"/>
      <c r="K191" s="1268"/>
      <c r="L191" s="1274"/>
      <c r="M191" s="1277"/>
      <c r="N191" s="1399" t="str">
        <f>IF('別紙様式2-2（４・５月分）'!Q147="","",'別紙様式2-2（４・５月分）'!Q147)</f>
        <v/>
      </c>
      <c r="O191" s="1420"/>
      <c r="P191" s="1426"/>
      <c r="Q191" s="1427"/>
      <c r="R191" s="1428"/>
      <c r="S191" s="1430"/>
      <c r="T191" s="1432"/>
      <c r="U191" s="1434"/>
      <c r="V191" s="1436"/>
      <c r="W191" s="1438"/>
      <c r="X191" s="1376"/>
      <c r="Y191" s="1378"/>
      <c r="Z191" s="1376"/>
      <c r="AA191" s="1378"/>
      <c r="AB191" s="1376"/>
      <c r="AC191" s="1378"/>
      <c r="AD191" s="1376"/>
      <c r="AE191" s="1378"/>
      <c r="AF191" s="1378"/>
      <c r="AG191" s="1378"/>
      <c r="AH191" s="1380"/>
      <c r="AI191" s="1382"/>
      <c r="AJ191" s="1384"/>
      <c r="AK191" s="1386"/>
      <c r="AL191" s="1364"/>
      <c r="AM191" s="1388"/>
      <c r="AN191" s="1360"/>
      <c r="AO191" s="1390"/>
      <c r="AP191" s="1394"/>
      <c r="AQ191" s="1394"/>
      <c r="AR191" s="1396"/>
      <c r="AS191" s="1348"/>
      <c r="AT191" s="1334" t="str">
        <f t="shared" si="104"/>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1"/>
      <c r="C192" s="1302"/>
      <c r="D192" s="1302"/>
      <c r="E192" s="1302"/>
      <c r="F192" s="1303"/>
      <c r="G192" s="1268"/>
      <c r="H192" s="1268"/>
      <c r="I192" s="1268"/>
      <c r="J192" s="1443"/>
      <c r="K192" s="1268"/>
      <c r="L192" s="1274"/>
      <c r="M192" s="1277"/>
      <c r="N192" s="1400"/>
      <c r="O192" s="1421"/>
      <c r="P192" s="1401" t="s">
        <v>2179</v>
      </c>
      <c r="Q192" s="1403" t="str">
        <f>IFERROR(VLOOKUP('別紙様式2-2（４・５月分）'!AR146,【参考】数式用!$AT$5:$AV$22,3,FALSE),"")</f>
        <v/>
      </c>
      <c r="R192" s="1405" t="s">
        <v>2190</v>
      </c>
      <c r="S192" s="1407" t="str">
        <f>IFERROR(VLOOKUP(K190,【参考】数式用!$A$5:$AB$27,MATCH(Q192,【参考】数式用!$B$4:$AB$4,0)+1,0),"")</f>
        <v/>
      </c>
      <c r="T192" s="1409" t="s">
        <v>217</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5" t="s">
        <v>38</v>
      </c>
      <c r="AI192" s="1367" t="str">
        <f>IFERROR(ROUNDDOWN(ROUND(L190*V192,0)*M190,0)*AG192,"")</f>
        <v/>
      </c>
      <c r="AJ192" s="1369" t="str">
        <f>IFERROR(ROUNDDOWN(ROUND((L190*(V192-AX190)),0)*M190,0)*AG192,"")</f>
        <v/>
      </c>
      <c r="AK192" s="1371">
        <f>IFERROR(IF(OR(N190="",N191="",N193=""),0,ROUNDDOWN(ROUNDDOWN(ROUND(L190*VLOOKUP(K190,【参考】数式用!$A$5:$AB$27,MATCH("新加算Ⅳ",【参考】数式用!$B$4:$AB$4,0)+1,0),0)*M190,0)*AG192*0.5,0)),"")</f>
        <v>0</v>
      </c>
      <c r="AL192" s="1361" t="str">
        <f t="shared" ref="AL192" si="139">IF(U192&lt;&gt;"","新規に適用","")</f>
        <v/>
      </c>
      <c r="AM192" s="1373">
        <f>IFERROR(IF(OR(N193="ベア加算",N193=""),0, IF(OR(U190="新加算Ⅰ",U190="新加算Ⅱ",U190="新加算Ⅲ",U190="新加算Ⅳ"),0,ROUNDDOWN(ROUND(L190*VLOOKUP(K190,【参考】数式用!$A$5:$I$27,MATCH("ベア加算",【参考】数式用!$B$4:$I$4,0)+1,0),0)*M190,0)*AG192)),"")</f>
        <v>0</v>
      </c>
      <c r="AN192" s="1345" t="str">
        <f>IF(AND(U192&lt;&gt;"",AN190=""),"新規に適用",IF(AND(U192&lt;&gt;"",AN190&lt;&gt;""),"継続で適用",""))</f>
        <v/>
      </c>
      <c r="AO192" s="1345" t="str">
        <f>IF(AND(U192&lt;&gt;"",AO190=""),"新規に適用",IF(AND(U192&lt;&gt;"",AO190&lt;&gt;""),"継続で適用",""))</f>
        <v/>
      </c>
      <c r="AP192" s="1391"/>
      <c r="AQ192" s="1345" t="str">
        <f>IF(AND(U192&lt;&gt;"",AQ190=""),"新規に適用",IF(AND(U192&lt;&gt;"",AQ190&lt;&gt;""),"継続で適用",""))</f>
        <v/>
      </c>
      <c r="AR192" s="1349" t="str">
        <f t="shared" si="121"/>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316"/>
      <c r="B193" s="1439"/>
      <c r="C193" s="1440"/>
      <c r="D193" s="1440"/>
      <c r="E193" s="1440"/>
      <c r="F193" s="1441"/>
      <c r="G193" s="1269"/>
      <c r="H193" s="1269"/>
      <c r="I193" s="1269"/>
      <c r="J193" s="1444"/>
      <c r="K193" s="1269"/>
      <c r="L193" s="1275"/>
      <c r="M193" s="1278"/>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66"/>
      <c r="AI193" s="1368"/>
      <c r="AJ193" s="1370"/>
      <c r="AK193" s="1372"/>
      <c r="AL193" s="1362"/>
      <c r="AM193" s="1374"/>
      <c r="AN193" s="1346"/>
      <c r="AO193" s="1346"/>
      <c r="AP193" s="1392"/>
      <c r="AQ193" s="1346"/>
      <c r="AR193" s="1350"/>
      <c r="AS193" s="1346"/>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43" t="str">
        <f>IF(基本情報入力シート!X99="","",基本情報入力シート!X99)</f>
        <v/>
      </c>
      <c r="K194" s="1268" t="str">
        <f>IF(基本情報入力シート!Y99="","",基本情報入力シート!Y99)</f>
        <v/>
      </c>
      <c r="L194" s="1274"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2173</v>
      </c>
      <c r="U194" s="1433"/>
      <c r="V194" s="1435" t="str">
        <f>IFERROR(VLOOKUP(K194,【参考】数式用!$A$5:$AB$27,MATCH(U194,【参考】数式用!$B$4:$AB$4,0)+1,0),"")</f>
        <v/>
      </c>
      <c r="W194" s="1437" t="s">
        <v>19</v>
      </c>
      <c r="X194" s="1375">
        <v>6</v>
      </c>
      <c r="Y194" s="1377" t="s">
        <v>10</v>
      </c>
      <c r="Z194" s="1375">
        <v>6</v>
      </c>
      <c r="AA194" s="1377" t="s">
        <v>45</v>
      </c>
      <c r="AB194" s="1375">
        <v>7</v>
      </c>
      <c r="AC194" s="1377" t="s">
        <v>10</v>
      </c>
      <c r="AD194" s="1375">
        <v>3</v>
      </c>
      <c r="AE194" s="1377" t="s">
        <v>13</v>
      </c>
      <c r="AF194" s="1377" t="s">
        <v>24</v>
      </c>
      <c r="AG194" s="1377">
        <f>IF(X194&gt;=1,(AB194*12+AD194)-(X194*12+Z194)+1,"")</f>
        <v>10</v>
      </c>
      <c r="AH194" s="1379" t="s">
        <v>38</v>
      </c>
      <c r="AI194" s="1381" t="str">
        <f>IFERROR(ROUNDDOWN(ROUND(L194*V194,0)*M194,0)*AG194,"")</f>
        <v/>
      </c>
      <c r="AJ194" s="1383" t="str">
        <f>IFERROR(ROUNDDOWN(ROUND((L194*(V194-AX194)),0)*M194,0)*AG194,"")</f>
        <v/>
      </c>
      <c r="AK194" s="1385">
        <f>IFERROR(IF(OR(N194="",N195="",N197=""),0,ROUNDDOWN(ROUNDDOWN(ROUND(L194*VLOOKUP(K194,【参考】数式用!$A$5:$AB$27,MATCH("新加算Ⅳ",【参考】数式用!$B$4:$AB$4,0)+1,0),0)*M194,0)*AG194*0.5,0)),"")</f>
        <v>0</v>
      </c>
      <c r="AL194" s="1363"/>
      <c r="AM194" s="138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2"/>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2098</v>
      </c>
      <c r="BA194" s="1247" t="s">
        <v>2099</v>
      </c>
      <c r="BB194" s="1247" t="s">
        <v>2100</v>
      </c>
      <c r="BC194" s="1247" t="s">
        <v>2101</v>
      </c>
      <c r="BD194" s="1247" t="str">
        <f>IF(AND(P194&lt;&gt;"新加算Ⅰ",P194&lt;&gt;"新加算Ⅱ",P194&lt;&gt;"新加算Ⅲ",P194&lt;&gt;"新加算Ⅳ"),P194,IF(Q196&lt;&gt;"",Q196,""))</f>
        <v/>
      </c>
      <c r="BE194" s="1247"/>
      <c r="BF194" s="1247" t="str">
        <f t="shared" ref="BF194" si="141">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315"/>
      <c r="B195" s="1301"/>
      <c r="C195" s="1302"/>
      <c r="D195" s="1302"/>
      <c r="E195" s="1302"/>
      <c r="F195" s="1303"/>
      <c r="G195" s="1268"/>
      <c r="H195" s="1268"/>
      <c r="I195" s="1268"/>
      <c r="J195" s="1443"/>
      <c r="K195" s="1268"/>
      <c r="L195" s="1274"/>
      <c r="M195" s="1445"/>
      <c r="N195" s="1399" t="str">
        <f>IF('別紙様式2-2（４・５月分）'!Q150="","",'別紙様式2-2（４・５月分）'!Q150)</f>
        <v/>
      </c>
      <c r="O195" s="1420"/>
      <c r="P195" s="1426"/>
      <c r="Q195" s="1427"/>
      <c r="R195" s="1428"/>
      <c r="S195" s="1430"/>
      <c r="T195" s="1432"/>
      <c r="U195" s="1434"/>
      <c r="V195" s="1436"/>
      <c r="W195" s="1438"/>
      <c r="X195" s="1376"/>
      <c r="Y195" s="1378"/>
      <c r="Z195" s="1376"/>
      <c r="AA195" s="1378"/>
      <c r="AB195" s="1376"/>
      <c r="AC195" s="1378"/>
      <c r="AD195" s="1376"/>
      <c r="AE195" s="1378"/>
      <c r="AF195" s="1378"/>
      <c r="AG195" s="1378"/>
      <c r="AH195" s="1380"/>
      <c r="AI195" s="1382"/>
      <c r="AJ195" s="1384"/>
      <c r="AK195" s="1386"/>
      <c r="AL195" s="1364"/>
      <c r="AM195" s="1388"/>
      <c r="AN195" s="1360"/>
      <c r="AO195" s="1390"/>
      <c r="AP195" s="1394"/>
      <c r="AQ195" s="1394"/>
      <c r="AR195" s="1396"/>
      <c r="AS195" s="1348"/>
      <c r="AT195" s="1334" t="str">
        <f t="shared" si="104"/>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1"/>
      <c r="C196" s="1302"/>
      <c r="D196" s="1302"/>
      <c r="E196" s="1302"/>
      <c r="F196" s="1303"/>
      <c r="G196" s="1268"/>
      <c r="H196" s="1268"/>
      <c r="I196" s="1268"/>
      <c r="J196" s="1443"/>
      <c r="K196" s="1268"/>
      <c r="L196" s="1274"/>
      <c r="M196" s="1445"/>
      <c r="N196" s="1400"/>
      <c r="O196" s="1421"/>
      <c r="P196" s="1401" t="s">
        <v>2179</v>
      </c>
      <c r="Q196" s="1403" t="str">
        <f>IFERROR(VLOOKUP('別紙様式2-2（４・５月分）'!AR149,【参考】数式用!$AT$5:$AV$22,3,FALSE),"")</f>
        <v/>
      </c>
      <c r="R196" s="1405" t="s">
        <v>2190</v>
      </c>
      <c r="S196" s="1447" t="str">
        <f>IFERROR(VLOOKUP(K194,【参考】数式用!$A$5:$AB$27,MATCH(Q196,【参考】数式用!$B$4:$AB$4,0)+1,0),"")</f>
        <v/>
      </c>
      <c r="T196" s="1409" t="s">
        <v>217</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5" t="s">
        <v>38</v>
      </c>
      <c r="AI196" s="1367" t="str">
        <f>IFERROR(ROUNDDOWN(ROUND(L194*V196,0)*M194,0)*AG196,"")</f>
        <v/>
      </c>
      <c r="AJ196" s="1369" t="str">
        <f>IFERROR(ROUNDDOWN(ROUND((L194*(V196-AX194)),0)*M194,0)*AG196,"")</f>
        <v/>
      </c>
      <c r="AK196" s="1371">
        <f>IFERROR(IF(OR(N194="",N195="",N197=""),0,ROUNDDOWN(ROUNDDOWN(ROUND(L194*VLOOKUP(K194,【参考】数式用!$A$5:$AB$27,MATCH("新加算Ⅳ",【参考】数式用!$B$4:$AB$4,0)+1,0),0)*M194,0)*AG196*0.5,0)),"")</f>
        <v>0</v>
      </c>
      <c r="AL196" s="1361" t="str">
        <f t="shared" ref="AL196" si="142">IF(U196&lt;&gt;"","新規に適用","")</f>
        <v/>
      </c>
      <c r="AM196" s="1373">
        <f>IFERROR(IF(OR(N197="ベア加算",N197=""),0, IF(OR(U194="新加算Ⅰ",U194="新加算Ⅱ",U194="新加算Ⅲ",U194="新加算Ⅳ"),0,ROUNDDOWN(ROUND(L194*VLOOKUP(K194,【参考】数式用!$A$5:$I$27,MATCH("ベア加算",【参考】数式用!$B$4:$I$4,0)+1,0),0)*M194,0)*AG196)),"")</f>
        <v>0</v>
      </c>
      <c r="AN196" s="1345" t="str">
        <f>IF(AND(U196&lt;&gt;"",AN194=""),"新規に適用",IF(AND(U196&lt;&gt;"",AN194&lt;&gt;""),"継続で適用",""))</f>
        <v/>
      </c>
      <c r="AO196" s="1345" t="str">
        <f>IF(AND(U196&lt;&gt;"",AO194=""),"新規に適用",IF(AND(U196&lt;&gt;"",AO194&lt;&gt;""),"継続で適用",""))</f>
        <v/>
      </c>
      <c r="AP196" s="1391"/>
      <c r="AQ196" s="1345" t="str">
        <f>IF(AND(U196&lt;&gt;"",AQ194=""),"新規に適用",IF(AND(U196&lt;&gt;"",AQ194&lt;&gt;""),"継続で適用",""))</f>
        <v/>
      </c>
      <c r="AR196" s="1349" t="str">
        <f t="shared" si="121"/>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316"/>
      <c r="B197" s="1439"/>
      <c r="C197" s="1440"/>
      <c r="D197" s="1440"/>
      <c r="E197" s="1440"/>
      <c r="F197" s="1441"/>
      <c r="G197" s="1269"/>
      <c r="H197" s="1269"/>
      <c r="I197" s="1269"/>
      <c r="J197" s="1444"/>
      <c r="K197" s="1269"/>
      <c r="L197" s="1275"/>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66"/>
      <c r="AI197" s="1368"/>
      <c r="AJ197" s="1370"/>
      <c r="AK197" s="1372"/>
      <c r="AL197" s="1362"/>
      <c r="AM197" s="1374"/>
      <c r="AN197" s="1346"/>
      <c r="AO197" s="1346"/>
      <c r="AP197" s="1392"/>
      <c r="AQ197" s="1346"/>
      <c r="AR197" s="1350"/>
      <c r="AS197" s="1346"/>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314">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4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2173</v>
      </c>
      <c r="U198" s="1433"/>
      <c r="V198" s="1435" t="str">
        <f>IFERROR(VLOOKUP(K198,【参考】数式用!$A$5:$AB$27,MATCH(U198,【参考】数式用!$B$4:$AB$4,0)+1,0),"")</f>
        <v/>
      </c>
      <c r="W198" s="1437" t="s">
        <v>19</v>
      </c>
      <c r="X198" s="1375">
        <v>6</v>
      </c>
      <c r="Y198" s="1377" t="s">
        <v>10</v>
      </c>
      <c r="Z198" s="1375">
        <v>6</v>
      </c>
      <c r="AA198" s="1377" t="s">
        <v>45</v>
      </c>
      <c r="AB198" s="1375">
        <v>7</v>
      </c>
      <c r="AC198" s="1377" t="s">
        <v>10</v>
      </c>
      <c r="AD198" s="1375">
        <v>3</v>
      </c>
      <c r="AE198" s="1377" t="s">
        <v>13</v>
      </c>
      <c r="AF198" s="1377" t="s">
        <v>24</v>
      </c>
      <c r="AG198" s="1377">
        <f>IF(X198&gt;=1,(AB198*12+AD198)-(X198*12+Z198)+1,"")</f>
        <v>10</v>
      </c>
      <c r="AH198" s="1379" t="s">
        <v>38</v>
      </c>
      <c r="AI198" s="1381" t="str">
        <f>IFERROR(ROUNDDOWN(ROUND(L198*V198,0)*M198,0)*AG198,"")</f>
        <v/>
      </c>
      <c r="AJ198" s="1383" t="str">
        <f>IFERROR(ROUNDDOWN(ROUND((L198*(V198-AX198)),0)*M198,0)*AG198,"")</f>
        <v/>
      </c>
      <c r="AK198" s="1385">
        <f>IFERROR(IF(OR(N198="",N199="",N201=""),0,ROUNDDOWN(ROUNDDOWN(ROUND(L198*VLOOKUP(K198,【参考】数式用!$A$5:$AB$27,MATCH("新加算Ⅳ",【参考】数式用!$B$4:$AB$4,0)+1,0),0)*M198,0)*AG198*0.5,0)),"")</f>
        <v>0</v>
      </c>
      <c r="AL198" s="1363"/>
      <c r="AM198" s="138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2"/>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2098</v>
      </c>
      <c r="BA198" s="1247" t="s">
        <v>2099</v>
      </c>
      <c r="BB198" s="1247" t="s">
        <v>2100</v>
      </c>
      <c r="BC198" s="1247" t="s">
        <v>2101</v>
      </c>
      <c r="BD198" s="1247" t="str">
        <f>IF(AND(P198&lt;&gt;"新加算Ⅰ",P198&lt;&gt;"新加算Ⅱ",P198&lt;&gt;"新加算Ⅲ",P198&lt;&gt;"新加算Ⅳ"),P198,IF(Q200&lt;&gt;"",Q200,""))</f>
        <v/>
      </c>
      <c r="BE198" s="1247"/>
      <c r="BF198" s="1247" t="str">
        <f t="shared" ref="BF198" si="144">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315"/>
      <c r="B199" s="1301"/>
      <c r="C199" s="1302"/>
      <c r="D199" s="1302"/>
      <c r="E199" s="1302"/>
      <c r="F199" s="1303"/>
      <c r="G199" s="1268"/>
      <c r="H199" s="1268"/>
      <c r="I199" s="1268"/>
      <c r="J199" s="1443"/>
      <c r="K199" s="1268"/>
      <c r="L199" s="1274"/>
      <c r="M199" s="1277"/>
      <c r="N199" s="1399" t="str">
        <f>IF('別紙様式2-2（４・５月分）'!Q153="","",'別紙様式2-2（４・５月分）'!Q153)</f>
        <v/>
      </c>
      <c r="O199" s="1420"/>
      <c r="P199" s="1426"/>
      <c r="Q199" s="1427"/>
      <c r="R199" s="1428"/>
      <c r="S199" s="1430"/>
      <c r="T199" s="1432"/>
      <c r="U199" s="1434"/>
      <c r="V199" s="1436"/>
      <c r="W199" s="1438"/>
      <c r="X199" s="1376"/>
      <c r="Y199" s="1378"/>
      <c r="Z199" s="1376"/>
      <c r="AA199" s="1378"/>
      <c r="AB199" s="1376"/>
      <c r="AC199" s="1378"/>
      <c r="AD199" s="1376"/>
      <c r="AE199" s="1378"/>
      <c r="AF199" s="1378"/>
      <c r="AG199" s="1378"/>
      <c r="AH199" s="1380"/>
      <c r="AI199" s="1382"/>
      <c r="AJ199" s="1384"/>
      <c r="AK199" s="1386"/>
      <c r="AL199" s="1364"/>
      <c r="AM199" s="1388"/>
      <c r="AN199" s="1360"/>
      <c r="AO199" s="1390"/>
      <c r="AP199" s="1394"/>
      <c r="AQ199" s="1394"/>
      <c r="AR199" s="1396"/>
      <c r="AS199" s="1348"/>
      <c r="AT199" s="1334" t="str">
        <f t="shared" si="104"/>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1"/>
      <c r="C200" s="1302"/>
      <c r="D200" s="1302"/>
      <c r="E200" s="1302"/>
      <c r="F200" s="1303"/>
      <c r="G200" s="1268"/>
      <c r="H200" s="1268"/>
      <c r="I200" s="1268"/>
      <c r="J200" s="1443"/>
      <c r="K200" s="1268"/>
      <c r="L200" s="1274"/>
      <c r="M200" s="1277"/>
      <c r="N200" s="1400"/>
      <c r="O200" s="1421"/>
      <c r="P200" s="1401" t="s">
        <v>2179</v>
      </c>
      <c r="Q200" s="1403" t="str">
        <f>IFERROR(VLOOKUP('別紙様式2-2（４・５月分）'!AR152,【参考】数式用!$AT$5:$AV$22,3,FALSE),"")</f>
        <v/>
      </c>
      <c r="R200" s="1405" t="s">
        <v>2190</v>
      </c>
      <c r="S200" s="1407" t="str">
        <f>IFERROR(VLOOKUP(K198,【参考】数式用!$A$5:$AB$27,MATCH(Q200,【参考】数式用!$B$4:$AB$4,0)+1,0),"")</f>
        <v/>
      </c>
      <c r="T200" s="1409" t="s">
        <v>217</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5" t="s">
        <v>38</v>
      </c>
      <c r="AI200" s="1367" t="str">
        <f>IFERROR(ROUNDDOWN(ROUND(L198*V200,0)*M198,0)*AG200,"")</f>
        <v/>
      </c>
      <c r="AJ200" s="1369" t="str">
        <f>IFERROR(ROUNDDOWN(ROUND((L198*(V200-AX198)),0)*M198,0)*AG200,"")</f>
        <v/>
      </c>
      <c r="AK200" s="1371">
        <f>IFERROR(IF(OR(N198="",N199="",N201=""),0,ROUNDDOWN(ROUNDDOWN(ROUND(L198*VLOOKUP(K198,【参考】数式用!$A$5:$AB$27,MATCH("新加算Ⅳ",【参考】数式用!$B$4:$AB$4,0)+1,0),0)*M198,0)*AG200*0.5,0)),"")</f>
        <v>0</v>
      </c>
      <c r="AL200" s="1361" t="str">
        <f t="shared" ref="AL200" si="145">IF(U200&lt;&gt;"","新規に適用","")</f>
        <v/>
      </c>
      <c r="AM200" s="1373">
        <f>IFERROR(IF(OR(N201="ベア加算",N201=""),0, IF(OR(U198="新加算Ⅰ",U198="新加算Ⅱ",U198="新加算Ⅲ",U198="新加算Ⅳ"),0,ROUNDDOWN(ROUND(L198*VLOOKUP(K198,【参考】数式用!$A$5:$I$27,MATCH("ベア加算",【参考】数式用!$B$4:$I$4,0)+1,0),0)*M198,0)*AG200)),"")</f>
        <v>0</v>
      </c>
      <c r="AN200" s="1345" t="str">
        <f>IF(AND(U200&lt;&gt;"",AN198=""),"新規に適用",IF(AND(U200&lt;&gt;"",AN198&lt;&gt;""),"継続で適用",""))</f>
        <v/>
      </c>
      <c r="AO200" s="1345" t="str">
        <f>IF(AND(U200&lt;&gt;"",AO198=""),"新規に適用",IF(AND(U200&lt;&gt;"",AO198&lt;&gt;""),"継続で適用",""))</f>
        <v/>
      </c>
      <c r="AP200" s="1391"/>
      <c r="AQ200" s="1345" t="str">
        <f>IF(AND(U200&lt;&gt;"",AQ198=""),"新規に適用",IF(AND(U200&lt;&gt;"",AQ198&lt;&gt;""),"継続で適用",""))</f>
        <v/>
      </c>
      <c r="AR200" s="1349" t="str">
        <f t="shared" si="121"/>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316"/>
      <c r="B201" s="1439"/>
      <c r="C201" s="1440"/>
      <c r="D201" s="1440"/>
      <c r="E201" s="1440"/>
      <c r="F201" s="1441"/>
      <c r="G201" s="1269"/>
      <c r="H201" s="1269"/>
      <c r="I201" s="1269"/>
      <c r="J201" s="1444"/>
      <c r="K201" s="1269"/>
      <c r="L201" s="1275"/>
      <c r="M201" s="1278"/>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66"/>
      <c r="AI201" s="1368"/>
      <c r="AJ201" s="1370"/>
      <c r="AK201" s="1372"/>
      <c r="AL201" s="1362"/>
      <c r="AM201" s="1374"/>
      <c r="AN201" s="1346"/>
      <c r="AO201" s="1346"/>
      <c r="AP201" s="1392"/>
      <c r="AQ201" s="1346"/>
      <c r="AR201" s="1350"/>
      <c r="AS201" s="1346"/>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43" t="str">
        <f>IF(基本情報入力シート!X101="","",基本情報入力シート!X101)</f>
        <v/>
      </c>
      <c r="K202" s="1268" t="str">
        <f>IF(基本情報入力シート!Y101="","",基本情報入力シート!Y101)</f>
        <v/>
      </c>
      <c r="L202" s="1274"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2173</v>
      </c>
      <c r="U202" s="1433"/>
      <c r="V202" s="1435" t="str">
        <f>IFERROR(VLOOKUP(K202,【参考】数式用!$A$5:$AB$27,MATCH(U202,【参考】数式用!$B$4:$AB$4,0)+1,0),"")</f>
        <v/>
      </c>
      <c r="W202" s="1437" t="s">
        <v>19</v>
      </c>
      <c r="X202" s="1375">
        <v>6</v>
      </c>
      <c r="Y202" s="1377" t="s">
        <v>10</v>
      </c>
      <c r="Z202" s="1375">
        <v>6</v>
      </c>
      <c r="AA202" s="1377" t="s">
        <v>45</v>
      </c>
      <c r="AB202" s="1375">
        <v>7</v>
      </c>
      <c r="AC202" s="1377" t="s">
        <v>10</v>
      </c>
      <c r="AD202" s="1375">
        <v>3</v>
      </c>
      <c r="AE202" s="1377" t="s">
        <v>13</v>
      </c>
      <c r="AF202" s="1377" t="s">
        <v>24</v>
      </c>
      <c r="AG202" s="1377">
        <f>IF(X202&gt;=1,(AB202*12+AD202)-(X202*12+Z202)+1,"")</f>
        <v>10</v>
      </c>
      <c r="AH202" s="1379" t="s">
        <v>38</v>
      </c>
      <c r="AI202" s="1381" t="str">
        <f>IFERROR(ROUNDDOWN(ROUND(L202*V202,0)*M202,0)*AG202,"")</f>
        <v/>
      </c>
      <c r="AJ202" s="1383" t="str">
        <f>IFERROR(ROUNDDOWN(ROUND((L202*(V202-AX202)),0)*M202,0)*AG202,"")</f>
        <v/>
      </c>
      <c r="AK202" s="1385">
        <f>IFERROR(IF(OR(N202="",N203="",N205=""),0,ROUNDDOWN(ROUNDDOWN(ROUND(L202*VLOOKUP(K202,【参考】数式用!$A$5:$AB$27,MATCH("新加算Ⅳ",【参考】数式用!$B$4:$AB$4,0)+1,0),0)*M202,0)*AG202*0.5,0)),"")</f>
        <v>0</v>
      </c>
      <c r="AL202" s="1363"/>
      <c r="AM202" s="138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2"/>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2098</v>
      </c>
      <c r="BA202" s="1247" t="s">
        <v>2099</v>
      </c>
      <c r="BB202" s="1247" t="s">
        <v>2100</v>
      </c>
      <c r="BC202" s="1247" t="s">
        <v>2101</v>
      </c>
      <c r="BD202" s="1247" t="str">
        <f>IF(AND(P202&lt;&gt;"新加算Ⅰ",P202&lt;&gt;"新加算Ⅱ",P202&lt;&gt;"新加算Ⅲ",P202&lt;&gt;"新加算Ⅳ"),P202,IF(Q204&lt;&gt;"",Q204,""))</f>
        <v/>
      </c>
      <c r="BE202" s="1247"/>
      <c r="BF202" s="1247" t="str">
        <f t="shared" ref="BF202" si="147">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315"/>
      <c r="B203" s="1301"/>
      <c r="C203" s="1302"/>
      <c r="D203" s="1302"/>
      <c r="E203" s="1302"/>
      <c r="F203" s="1303"/>
      <c r="G203" s="1268"/>
      <c r="H203" s="1268"/>
      <c r="I203" s="1268"/>
      <c r="J203" s="1443"/>
      <c r="K203" s="1268"/>
      <c r="L203" s="1274"/>
      <c r="M203" s="1445"/>
      <c r="N203" s="1399" t="str">
        <f>IF('別紙様式2-2（４・５月分）'!Q156="","",'別紙様式2-2（４・５月分）'!Q156)</f>
        <v/>
      </c>
      <c r="O203" s="1420"/>
      <c r="P203" s="1426"/>
      <c r="Q203" s="1427"/>
      <c r="R203" s="1428"/>
      <c r="S203" s="1430"/>
      <c r="T203" s="1432"/>
      <c r="U203" s="1434"/>
      <c r="V203" s="1436"/>
      <c r="W203" s="1438"/>
      <c r="X203" s="1376"/>
      <c r="Y203" s="1378"/>
      <c r="Z203" s="1376"/>
      <c r="AA203" s="1378"/>
      <c r="AB203" s="1376"/>
      <c r="AC203" s="1378"/>
      <c r="AD203" s="1376"/>
      <c r="AE203" s="1378"/>
      <c r="AF203" s="1378"/>
      <c r="AG203" s="1378"/>
      <c r="AH203" s="1380"/>
      <c r="AI203" s="1382"/>
      <c r="AJ203" s="1384"/>
      <c r="AK203" s="1386"/>
      <c r="AL203" s="1364"/>
      <c r="AM203" s="1388"/>
      <c r="AN203" s="1360"/>
      <c r="AO203" s="1390"/>
      <c r="AP203" s="1394"/>
      <c r="AQ203" s="1394"/>
      <c r="AR203" s="1396"/>
      <c r="AS203" s="1348"/>
      <c r="AT203" s="1334" t="str">
        <f t="shared" si="104"/>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1"/>
      <c r="C204" s="1302"/>
      <c r="D204" s="1302"/>
      <c r="E204" s="1302"/>
      <c r="F204" s="1303"/>
      <c r="G204" s="1268"/>
      <c r="H204" s="1268"/>
      <c r="I204" s="1268"/>
      <c r="J204" s="1443"/>
      <c r="K204" s="1268"/>
      <c r="L204" s="1274"/>
      <c r="M204" s="1445"/>
      <c r="N204" s="1400"/>
      <c r="O204" s="1421"/>
      <c r="P204" s="1401" t="s">
        <v>2179</v>
      </c>
      <c r="Q204" s="1403" t="str">
        <f>IFERROR(VLOOKUP('別紙様式2-2（４・５月分）'!AR155,【参考】数式用!$AT$5:$AV$22,3,FALSE),"")</f>
        <v/>
      </c>
      <c r="R204" s="1405" t="s">
        <v>2190</v>
      </c>
      <c r="S204" s="1447" t="str">
        <f>IFERROR(VLOOKUP(K202,【参考】数式用!$A$5:$AB$27,MATCH(Q204,【参考】数式用!$B$4:$AB$4,0)+1,0),"")</f>
        <v/>
      </c>
      <c r="T204" s="1409" t="s">
        <v>217</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5" t="s">
        <v>38</v>
      </c>
      <c r="AI204" s="1367" t="str">
        <f>IFERROR(ROUNDDOWN(ROUND(L202*V204,0)*M202,0)*AG204,"")</f>
        <v/>
      </c>
      <c r="AJ204" s="1369" t="str">
        <f>IFERROR(ROUNDDOWN(ROUND((L202*(V204-AX202)),0)*M202,0)*AG204,"")</f>
        <v/>
      </c>
      <c r="AK204" s="1371">
        <f>IFERROR(IF(OR(N202="",N203="",N205=""),0,ROUNDDOWN(ROUNDDOWN(ROUND(L202*VLOOKUP(K202,【参考】数式用!$A$5:$AB$27,MATCH("新加算Ⅳ",【参考】数式用!$B$4:$AB$4,0)+1,0),0)*M202,0)*AG204*0.5,0)),"")</f>
        <v>0</v>
      </c>
      <c r="AL204" s="1361" t="str">
        <f t="shared" ref="AL204" si="148">IF(U204&lt;&gt;"","新規に適用","")</f>
        <v/>
      </c>
      <c r="AM204" s="1373">
        <f>IFERROR(IF(OR(N205="ベア加算",N205=""),0, IF(OR(U202="新加算Ⅰ",U202="新加算Ⅱ",U202="新加算Ⅲ",U202="新加算Ⅳ"),0,ROUNDDOWN(ROUND(L202*VLOOKUP(K202,【参考】数式用!$A$5:$I$27,MATCH("ベア加算",【参考】数式用!$B$4:$I$4,0)+1,0),0)*M202,0)*AG204)),"")</f>
        <v>0</v>
      </c>
      <c r="AN204" s="1345" t="str">
        <f>IF(AND(U204&lt;&gt;"",AN202=""),"新規に適用",IF(AND(U204&lt;&gt;"",AN202&lt;&gt;""),"継続で適用",""))</f>
        <v/>
      </c>
      <c r="AO204" s="1345" t="str">
        <f>IF(AND(U204&lt;&gt;"",AO202=""),"新規に適用",IF(AND(U204&lt;&gt;"",AO202&lt;&gt;""),"継続で適用",""))</f>
        <v/>
      </c>
      <c r="AP204" s="1391"/>
      <c r="AQ204" s="1345" t="str">
        <f>IF(AND(U204&lt;&gt;"",AQ202=""),"新規に適用",IF(AND(U204&lt;&gt;"",AQ202&lt;&gt;""),"継続で適用",""))</f>
        <v/>
      </c>
      <c r="AR204" s="1349" t="str">
        <f t="shared" si="121"/>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316"/>
      <c r="B205" s="1439"/>
      <c r="C205" s="1440"/>
      <c r="D205" s="1440"/>
      <c r="E205" s="1440"/>
      <c r="F205" s="1441"/>
      <c r="G205" s="1269"/>
      <c r="H205" s="1269"/>
      <c r="I205" s="1269"/>
      <c r="J205" s="1444"/>
      <c r="K205" s="1269"/>
      <c r="L205" s="1275"/>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66"/>
      <c r="AI205" s="1368"/>
      <c r="AJ205" s="1370"/>
      <c r="AK205" s="1372"/>
      <c r="AL205" s="1362"/>
      <c r="AM205" s="1374"/>
      <c r="AN205" s="1346"/>
      <c r="AO205" s="1346"/>
      <c r="AP205" s="1392"/>
      <c r="AQ205" s="1346"/>
      <c r="AR205" s="1350"/>
      <c r="AS205" s="1346"/>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314">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4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2173</v>
      </c>
      <c r="U206" s="1433"/>
      <c r="V206" s="1435" t="str">
        <f>IFERROR(VLOOKUP(K206,【参考】数式用!$A$5:$AB$27,MATCH(U206,【参考】数式用!$B$4:$AB$4,0)+1,0),"")</f>
        <v/>
      </c>
      <c r="W206" s="1437" t="s">
        <v>19</v>
      </c>
      <c r="X206" s="1375">
        <v>6</v>
      </c>
      <c r="Y206" s="1377" t="s">
        <v>10</v>
      </c>
      <c r="Z206" s="1375">
        <v>6</v>
      </c>
      <c r="AA206" s="1377" t="s">
        <v>45</v>
      </c>
      <c r="AB206" s="1375">
        <v>7</v>
      </c>
      <c r="AC206" s="1377" t="s">
        <v>10</v>
      </c>
      <c r="AD206" s="1375">
        <v>3</v>
      </c>
      <c r="AE206" s="1377" t="s">
        <v>13</v>
      </c>
      <c r="AF206" s="1377" t="s">
        <v>24</v>
      </c>
      <c r="AG206" s="1377">
        <f>IF(X206&gt;=1,(AB206*12+AD206)-(X206*12+Z206)+1,"")</f>
        <v>10</v>
      </c>
      <c r="AH206" s="1379" t="s">
        <v>38</v>
      </c>
      <c r="AI206" s="1381" t="str">
        <f>IFERROR(ROUNDDOWN(ROUND(L206*V206,0)*M206,0)*AG206,"")</f>
        <v/>
      </c>
      <c r="AJ206" s="1383" t="str">
        <f>IFERROR(ROUNDDOWN(ROUND((L206*(V206-AX206)),0)*M206,0)*AG206,"")</f>
        <v/>
      </c>
      <c r="AK206" s="1385">
        <f>IFERROR(IF(OR(N206="",N207="",N209=""),0,ROUNDDOWN(ROUNDDOWN(ROUND(L206*VLOOKUP(K206,【参考】数式用!$A$5:$AB$27,MATCH("新加算Ⅳ",【参考】数式用!$B$4:$AB$4,0)+1,0),0)*M206,0)*AG206*0.5,0)),"")</f>
        <v>0</v>
      </c>
      <c r="AL206" s="1363"/>
      <c r="AM206" s="138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2"/>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2098</v>
      </c>
      <c r="BA206" s="1247" t="s">
        <v>2099</v>
      </c>
      <c r="BB206" s="1247" t="s">
        <v>2100</v>
      </c>
      <c r="BC206" s="1247" t="s">
        <v>2101</v>
      </c>
      <c r="BD206" s="1247" t="str">
        <f>IF(AND(P206&lt;&gt;"新加算Ⅰ",P206&lt;&gt;"新加算Ⅱ",P206&lt;&gt;"新加算Ⅲ",P206&lt;&gt;"新加算Ⅳ"),P206,IF(Q208&lt;&gt;"",Q208,""))</f>
        <v/>
      </c>
      <c r="BE206" s="1247"/>
      <c r="BF206" s="1247" t="str">
        <f t="shared" ref="BF206" si="150">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315"/>
      <c r="B207" s="1301"/>
      <c r="C207" s="1302"/>
      <c r="D207" s="1302"/>
      <c r="E207" s="1302"/>
      <c r="F207" s="1303"/>
      <c r="G207" s="1268"/>
      <c r="H207" s="1268"/>
      <c r="I207" s="1268"/>
      <c r="J207" s="1443"/>
      <c r="K207" s="1268"/>
      <c r="L207" s="1274"/>
      <c r="M207" s="1277"/>
      <c r="N207" s="1399" t="str">
        <f>IF('別紙様式2-2（４・５月分）'!Q159="","",'別紙様式2-2（４・５月分）'!Q159)</f>
        <v/>
      </c>
      <c r="O207" s="1420"/>
      <c r="P207" s="1426"/>
      <c r="Q207" s="1427"/>
      <c r="R207" s="1428"/>
      <c r="S207" s="1430"/>
      <c r="T207" s="1432"/>
      <c r="U207" s="1434"/>
      <c r="V207" s="1436"/>
      <c r="W207" s="1438"/>
      <c r="X207" s="1376"/>
      <c r="Y207" s="1378"/>
      <c r="Z207" s="1376"/>
      <c r="AA207" s="1378"/>
      <c r="AB207" s="1376"/>
      <c r="AC207" s="1378"/>
      <c r="AD207" s="1376"/>
      <c r="AE207" s="1378"/>
      <c r="AF207" s="1378"/>
      <c r="AG207" s="1378"/>
      <c r="AH207" s="1380"/>
      <c r="AI207" s="1382"/>
      <c r="AJ207" s="1384"/>
      <c r="AK207" s="1386"/>
      <c r="AL207" s="1364"/>
      <c r="AM207" s="1388"/>
      <c r="AN207" s="1360"/>
      <c r="AO207" s="1390"/>
      <c r="AP207" s="1394"/>
      <c r="AQ207" s="1394"/>
      <c r="AR207" s="1396"/>
      <c r="AS207" s="1348"/>
      <c r="AT207" s="1334" t="str">
        <f t="shared" si="104"/>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1"/>
      <c r="C208" s="1302"/>
      <c r="D208" s="1302"/>
      <c r="E208" s="1302"/>
      <c r="F208" s="1303"/>
      <c r="G208" s="1268"/>
      <c r="H208" s="1268"/>
      <c r="I208" s="1268"/>
      <c r="J208" s="1443"/>
      <c r="K208" s="1268"/>
      <c r="L208" s="1274"/>
      <c r="M208" s="1277"/>
      <c r="N208" s="1400"/>
      <c r="O208" s="1421"/>
      <c r="P208" s="1401" t="s">
        <v>2179</v>
      </c>
      <c r="Q208" s="1403" t="str">
        <f>IFERROR(VLOOKUP('別紙様式2-2（４・５月分）'!AR158,【参考】数式用!$AT$5:$AV$22,3,FALSE),"")</f>
        <v/>
      </c>
      <c r="R208" s="1405" t="s">
        <v>2190</v>
      </c>
      <c r="S208" s="1407" t="str">
        <f>IFERROR(VLOOKUP(K206,【参考】数式用!$A$5:$AB$27,MATCH(Q208,【参考】数式用!$B$4:$AB$4,0)+1,0),"")</f>
        <v/>
      </c>
      <c r="T208" s="1409" t="s">
        <v>217</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5" t="s">
        <v>38</v>
      </c>
      <c r="AI208" s="1367" t="str">
        <f>IFERROR(ROUNDDOWN(ROUND(L206*V208,0)*M206,0)*AG208,"")</f>
        <v/>
      </c>
      <c r="AJ208" s="1369" t="str">
        <f>IFERROR(ROUNDDOWN(ROUND((L206*(V208-AX206)),0)*M206,0)*AG208,"")</f>
        <v/>
      </c>
      <c r="AK208" s="1371">
        <f>IFERROR(IF(OR(N206="",N207="",N209=""),0,ROUNDDOWN(ROUNDDOWN(ROUND(L206*VLOOKUP(K206,【参考】数式用!$A$5:$AB$27,MATCH("新加算Ⅳ",【参考】数式用!$B$4:$AB$4,0)+1,0),0)*M206,0)*AG208*0.5,0)),"")</f>
        <v>0</v>
      </c>
      <c r="AL208" s="1361" t="str">
        <f t="shared" ref="AL208" si="151">IF(U208&lt;&gt;"","新規に適用","")</f>
        <v/>
      </c>
      <c r="AM208" s="1373">
        <f>IFERROR(IF(OR(N209="ベア加算",N209=""),0, IF(OR(U206="新加算Ⅰ",U206="新加算Ⅱ",U206="新加算Ⅲ",U206="新加算Ⅳ"),0,ROUNDDOWN(ROUND(L206*VLOOKUP(K206,【参考】数式用!$A$5:$I$27,MATCH("ベア加算",【参考】数式用!$B$4:$I$4,0)+1,0),0)*M206,0)*AG208)),"")</f>
        <v>0</v>
      </c>
      <c r="AN208" s="1345" t="str">
        <f>IF(AND(U208&lt;&gt;"",AN206=""),"新規に適用",IF(AND(U208&lt;&gt;"",AN206&lt;&gt;""),"継続で適用",""))</f>
        <v/>
      </c>
      <c r="AO208" s="1345" t="str">
        <f>IF(AND(U208&lt;&gt;"",AO206=""),"新規に適用",IF(AND(U208&lt;&gt;"",AO206&lt;&gt;""),"継続で適用",""))</f>
        <v/>
      </c>
      <c r="AP208" s="1391"/>
      <c r="AQ208" s="1345" t="str">
        <f>IF(AND(U208&lt;&gt;"",AQ206=""),"新規に適用",IF(AND(U208&lt;&gt;"",AQ206&lt;&gt;""),"継続で適用",""))</f>
        <v/>
      </c>
      <c r="AR208" s="1349" t="str">
        <f t="shared" si="121"/>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316"/>
      <c r="B209" s="1439"/>
      <c r="C209" s="1440"/>
      <c r="D209" s="1440"/>
      <c r="E209" s="1440"/>
      <c r="F209" s="1441"/>
      <c r="G209" s="1269"/>
      <c r="H209" s="1269"/>
      <c r="I209" s="1269"/>
      <c r="J209" s="1444"/>
      <c r="K209" s="1269"/>
      <c r="L209" s="1275"/>
      <c r="M209" s="1278"/>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66"/>
      <c r="AI209" s="1368"/>
      <c r="AJ209" s="1370"/>
      <c r="AK209" s="1372"/>
      <c r="AL209" s="1362"/>
      <c r="AM209" s="1374"/>
      <c r="AN209" s="1346"/>
      <c r="AO209" s="1346"/>
      <c r="AP209" s="1392"/>
      <c r="AQ209" s="1346"/>
      <c r="AR209" s="1350"/>
      <c r="AS209" s="1346"/>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43" t="str">
        <f>IF(基本情報入力シート!X103="","",基本情報入力シート!X103)</f>
        <v/>
      </c>
      <c r="K210" s="1268" t="str">
        <f>IF(基本情報入力シート!Y103="","",基本情報入力シート!Y103)</f>
        <v/>
      </c>
      <c r="L210" s="1274"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2173</v>
      </c>
      <c r="U210" s="1433"/>
      <c r="V210" s="1435" t="str">
        <f>IFERROR(VLOOKUP(K210,【参考】数式用!$A$5:$AB$27,MATCH(U210,【参考】数式用!$B$4:$AB$4,0)+1,0),"")</f>
        <v/>
      </c>
      <c r="W210" s="1437" t="s">
        <v>19</v>
      </c>
      <c r="X210" s="1375">
        <v>6</v>
      </c>
      <c r="Y210" s="1377" t="s">
        <v>10</v>
      </c>
      <c r="Z210" s="1375">
        <v>6</v>
      </c>
      <c r="AA210" s="1377" t="s">
        <v>45</v>
      </c>
      <c r="AB210" s="1375">
        <v>7</v>
      </c>
      <c r="AC210" s="1377" t="s">
        <v>10</v>
      </c>
      <c r="AD210" s="1375">
        <v>3</v>
      </c>
      <c r="AE210" s="1377" t="s">
        <v>13</v>
      </c>
      <c r="AF210" s="1377" t="s">
        <v>24</v>
      </c>
      <c r="AG210" s="1377">
        <f>IF(X210&gt;=1,(AB210*12+AD210)-(X210*12+Z210)+1,"")</f>
        <v>10</v>
      </c>
      <c r="AH210" s="1379" t="s">
        <v>38</v>
      </c>
      <c r="AI210" s="1381" t="str">
        <f>IFERROR(ROUNDDOWN(ROUND(L210*V210,0)*M210,0)*AG210,"")</f>
        <v/>
      </c>
      <c r="AJ210" s="1383" t="str">
        <f>IFERROR(ROUNDDOWN(ROUND((L210*(V210-AX210)),0)*M210,0)*AG210,"")</f>
        <v/>
      </c>
      <c r="AK210" s="1385">
        <f>IFERROR(IF(OR(N210="",N211="",N213=""),0,ROUNDDOWN(ROUNDDOWN(ROUND(L210*VLOOKUP(K210,【参考】数式用!$A$5:$AB$27,MATCH("新加算Ⅳ",【参考】数式用!$B$4:$AB$4,0)+1,0),0)*M210,0)*AG210*0.5,0)),"")</f>
        <v>0</v>
      </c>
      <c r="AL210" s="1363"/>
      <c r="AM210" s="138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3">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2098</v>
      </c>
      <c r="BA210" s="1247" t="s">
        <v>2099</v>
      </c>
      <c r="BB210" s="1247" t="s">
        <v>2100</v>
      </c>
      <c r="BC210" s="1247" t="s">
        <v>2101</v>
      </c>
      <c r="BD210" s="1247" t="str">
        <f>IF(AND(P210&lt;&gt;"新加算Ⅰ",P210&lt;&gt;"新加算Ⅱ",P210&lt;&gt;"新加算Ⅲ",P210&lt;&gt;"新加算Ⅳ"),P210,IF(Q212&lt;&gt;"",Q212,""))</f>
        <v/>
      </c>
      <c r="BE210" s="1247"/>
      <c r="BF210" s="1247" t="str">
        <f t="shared" ref="BF210" si="154">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315"/>
      <c r="B211" s="1301"/>
      <c r="C211" s="1302"/>
      <c r="D211" s="1302"/>
      <c r="E211" s="1302"/>
      <c r="F211" s="1303"/>
      <c r="G211" s="1268"/>
      <c r="H211" s="1268"/>
      <c r="I211" s="1268"/>
      <c r="J211" s="1443"/>
      <c r="K211" s="1268"/>
      <c r="L211" s="1274"/>
      <c r="M211" s="1445"/>
      <c r="N211" s="1399" t="str">
        <f>IF('別紙様式2-2（４・５月分）'!Q162="","",'別紙様式2-2（４・５月分）'!Q162)</f>
        <v/>
      </c>
      <c r="O211" s="1420"/>
      <c r="P211" s="1426"/>
      <c r="Q211" s="1427"/>
      <c r="R211" s="1428"/>
      <c r="S211" s="1430"/>
      <c r="T211" s="1432"/>
      <c r="U211" s="1434"/>
      <c r="V211" s="1436"/>
      <c r="W211" s="1438"/>
      <c r="X211" s="1376"/>
      <c r="Y211" s="1378"/>
      <c r="Z211" s="1376"/>
      <c r="AA211" s="1378"/>
      <c r="AB211" s="1376"/>
      <c r="AC211" s="1378"/>
      <c r="AD211" s="1376"/>
      <c r="AE211" s="1378"/>
      <c r="AF211" s="1378"/>
      <c r="AG211" s="1378"/>
      <c r="AH211" s="1380"/>
      <c r="AI211" s="1382"/>
      <c r="AJ211" s="1384"/>
      <c r="AK211" s="1386"/>
      <c r="AL211" s="1364"/>
      <c r="AM211" s="1388"/>
      <c r="AN211" s="1360"/>
      <c r="AO211" s="1390"/>
      <c r="AP211" s="1394"/>
      <c r="AQ211" s="1394"/>
      <c r="AR211" s="1396"/>
      <c r="AS211" s="1348"/>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1"/>
      <c r="C212" s="1302"/>
      <c r="D212" s="1302"/>
      <c r="E212" s="1302"/>
      <c r="F212" s="1303"/>
      <c r="G212" s="1268"/>
      <c r="H212" s="1268"/>
      <c r="I212" s="1268"/>
      <c r="J212" s="1443"/>
      <c r="K212" s="1268"/>
      <c r="L212" s="1274"/>
      <c r="M212" s="1445"/>
      <c r="N212" s="1400"/>
      <c r="O212" s="1421"/>
      <c r="P212" s="1401" t="s">
        <v>2179</v>
      </c>
      <c r="Q212" s="1403" t="str">
        <f>IFERROR(VLOOKUP('別紙様式2-2（４・５月分）'!AR161,【参考】数式用!$AT$5:$AV$22,3,FALSE),"")</f>
        <v/>
      </c>
      <c r="R212" s="1405" t="s">
        <v>2190</v>
      </c>
      <c r="S212" s="1447" t="str">
        <f>IFERROR(VLOOKUP(K210,【参考】数式用!$A$5:$AB$27,MATCH(Q212,【参考】数式用!$B$4:$AB$4,0)+1,0),"")</f>
        <v/>
      </c>
      <c r="T212" s="1409" t="s">
        <v>217</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5" t="s">
        <v>38</v>
      </c>
      <c r="AI212" s="1367" t="str">
        <f>IFERROR(ROUNDDOWN(ROUND(L210*V212,0)*M210,0)*AG212,"")</f>
        <v/>
      </c>
      <c r="AJ212" s="1369" t="str">
        <f>IFERROR(ROUNDDOWN(ROUND((L210*(V212-AX210)),0)*M210,0)*AG212,"")</f>
        <v/>
      </c>
      <c r="AK212" s="1371">
        <f>IFERROR(IF(OR(N210="",N211="",N213=""),0,ROUNDDOWN(ROUNDDOWN(ROUND(L210*VLOOKUP(K210,【参考】数式用!$A$5:$AB$27,MATCH("新加算Ⅳ",【参考】数式用!$B$4:$AB$4,0)+1,0),0)*M210,0)*AG212*0.5,0)),"")</f>
        <v>0</v>
      </c>
      <c r="AL212" s="1361" t="str">
        <f t="shared" ref="AL212" si="156">IF(U212&lt;&gt;"","新規に適用","")</f>
        <v/>
      </c>
      <c r="AM212" s="1373">
        <f>IFERROR(IF(OR(N213="ベア加算",N213=""),0, IF(OR(U210="新加算Ⅰ",U210="新加算Ⅱ",U210="新加算Ⅲ",U210="新加算Ⅳ"),0,ROUNDDOWN(ROUND(L210*VLOOKUP(K210,【参考】数式用!$A$5:$I$27,MATCH("ベア加算",【参考】数式用!$B$4:$I$4,0)+1,0),0)*M210,0)*AG212)),"")</f>
        <v>0</v>
      </c>
      <c r="AN212" s="1345" t="str">
        <f>IF(AND(U212&lt;&gt;"",AN210=""),"新規に適用",IF(AND(U212&lt;&gt;"",AN210&lt;&gt;""),"継続で適用",""))</f>
        <v/>
      </c>
      <c r="AO212" s="1345" t="str">
        <f>IF(AND(U212&lt;&gt;"",AO210=""),"新規に適用",IF(AND(U212&lt;&gt;"",AO210&lt;&gt;""),"継続で適用",""))</f>
        <v/>
      </c>
      <c r="AP212" s="1391"/>
      <c r="AQ212" s="1345" t="str">
        <f>IF(AND(U212&lt;&gt;"",AQ210=""),"新規に適用",IF(AND(U212&lt;&gt;"",AQ210&lt;&gt;""),"継続で適用",""))</f>
        <v/>
      </c>
      <c r="AR212" s="1349" t="str">
        <f t="shared" si="121"/>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316"/>
      <c r="B213" s="1439"/>
      <c r="C213" s="1440"/>
      <c r="D213" s="1440"/>
      <c r="E213" s="1440"/>
      <c r="F213" s="1441"/>
      <c r="G213" s="1269"/>
      <c r="H213" s="1269"/>
      <c r="I213" s="1269"/>
      <c r="J213" s="1444"/>
      <c r="K213" s="1269"/>
      <c r="L213" s="1275"/>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66"/>
      <c r="AI213" s="1368"/>
      <c r="AJ213" s="1370"/>
      <c r="AK213" s="1372"/>
      <c r="AL213" s="1362"/>
      <c r="AM213" s="1374"/>
      <c r="AN213" s="1346"/>
      <c r="AO213" s="1346"/>
      <c r="AP213" s="1392"/>
      <c r="AQ213" s="1346"/>
      <c r="AR213" s="1350"/>
      <c r="AS213" s="1346"/>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314">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4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2173</v>
      </c>
      <c r="U214" s="1433"/>
      <c r="V214" s="1435" t="str">
        <f>IFERROR(VLOOKUP(K214,【参考】数式用!$A$5:$AB$27,MATCH(U214,【参考】数式用!$B$4:$AB$4,0)+1,0),"")</f>
        <v/>
      </c>
      <c r="W214" s="1437" t="s">
        <v>19</v>
      </c>
      <c r="X214" s="1375">
        <v>6</v>
      </c>
      <c r="Y214" s="1377" t="s">
        <v>10</v>
      </c>
      <c r="Z214" s="1375">
        <v>6</v>
      </c>
      <c r="AA214" s="1377" t="s">
        <v>45</v>
      </c>
      <c r="AB214" s="1375">
        <v>7</v>
      </c>
      <c r="AC214" s="1377" t="s">
        <v>10</v>
      </c>
      <c r="AD214" s="1375">
        <v>3</v>
      </c>
      <c r="AE214" s="1377" t="s">
        <v>13</v>
      </c>
      <c r="AF214" s="1377" t="s">
        <v>24</v>
      </c>
      <c r="AG214" s="1377">
        <f>IF(X214&gt;=1,(AB214*12+AD214)-(X214*12+Z214)+1,"")</f>
        <v>10</v>
      </c>
      <c r="AH214" s="1379" t="s">
        <v>38</v>
      </c>
      <c r="AI214" s="1381" t="str">
        <f>IFERROR(ROUNDDOWN(ROUND(L214*V214,0)*M214,0)*AG214,"")</f>
        <v/>
      </c>
      <c r="AJ214" s="1383" t="str">
        <f>IFERROR(ROUNDDOWN(ROUND((L214*(V214-AX214)),0)*M214,0)*AG214,"")</f>
        <v/>
      </c>
      <c r="AK214" s="1385">
        <f>IFERROR(IF(OR(N214="",N215="",N217=""),0,ROUNDDOWN(ROUNDDOWN(ROUND(L214*VLOOKUP(K214,【参考】数式用!$A$5:$AB$27,MATCH("新加算Ⅳ",【参考】数式用!$B$4:$AB$4,0)+1,0),0)*M214,0)*AG214*0.5,0)),"")</f>
        <v>0</v>
      </c>
      <c r="AL214" s="1363"/>
      <c r="AM214" s="138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3"/>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2098</v>
      </c>
      <c r="BA214" s="1247" t="s">
        <v>2099</v>
      </c>
      <c r="BB214" s="1247" t="s">
        <v>2100</v>
      </c>
      <c r="BC214" s="1247" t="s">
        <v>2101</v>
      </c>
      <c r="BD214" s="1247" t="str">
        <f>IF(AND(P214&lt;&gt;"新加算Ⅰ",P214&lt;&gt;"新加算Ⅱ",P214&lt;&gt;"新加算Ⅲ",P214&lt;&gt;"新加算Ⅳ"),P214,IF(Q216&lt;&gt;"",Q216,""))</f>
        <v/>
      </c>
      <c r="BE214" s="1247"/>
      <c r="BF214" s="1247" t="str">
        <f t="shared" ref="BF214" si="158">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315"/>
      <c r="B215" s="1301"/>
      <c r="C215" s="1302"/>
      <c r="D215" s="1302"/>
      <c r="E215" s="1302"/>
      <c r="F215" s="1303"/>
      <c r="G215" s="1268"/>
      <c r="H215" s="1268"/>
      <c r="I215" s="1268"/>
      <c r="J215" s="1443"/>
      <c r="K215" s="1268"/>
      <c r="L215" s="1274"/>
      <c r="M215" s="1277"/>
      <c r="N215" s="1399" t="str">
        <f>IF('別紙様式2-2（４・５月分）'!Q165="","",'別紙様式2-2（４・５月分）'!Q165)</f>
        <v/>
      </c>
      <c r="O215" s="1420"/>
      <c r="P215" s="1426"/>
      <c r="Q215" s="1427"/>
      <c r="R215" s="1428"/>
      <c r="S215" s="1430"/>
      <c r="T215" s="1432"/>
      <c r="U215" s="1434"/>
      <c r="V215" s="1436"/>
      <c r="W215" s="1438"/>
      <c r="X215" s="1376"/>
      <c r="Y215" s="1378"/>
      <c r="Z215" s="1376"/>
      <c r="AA215" s="1378"/>
      <c r="AB215" s="1376"/>
      <c r="AC215" s="1378"/>
      <c r="AD215" s="1376"/>
      <c r="AE215" s="1378"/>
      <c r="AF215" s="1378"/>
      <c r="AG215" s="1378"/>
      <c r="AH215" s="1380"/>
      <c r="AI215" s="1382"/>
      <c r="AJ215" s="1384"/>
      <c r="AK215" s="1386"/>
      <c r="AL215" s="1364"/>
      <c r="AM215" s="1388"/>
      <c r="AN215" s="1360"/>
      <c r="AO215" s="1390"/>
      <c r="AP215" s="1394"/>
      <c r="AQ215" s="1394"/>
      <c r="AR215" s="1396"/>
      <c r="AS215" s="1348"/>
      <c r="AT215" s="1334" t="str">
        <f t="shared" si="155"/>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1"/>
      <c r="C216" s="1302"/>
      <c r="D216" s="1302"/>
      <c r="E216" s="1302"/>
      <c r="F216" s="1303"/>
      <c r="G216" s="1268"/>
      <c r="H216" s="1268"/>
      <c r="I216" s="1268"/>
      <c r="J216" s="1443"/>
      <c r="K216" s="1268"/>
      <c r="L216" s="1274"/>
      <c r="M216" s="1277"/>
      <c r="N216" s="1400"/>
      <c r="O216" s="1421"/>
      <c r="P216" s="1401" t="s">
        <v>2179</v>
      </c>
      <c r="Q216" s="1403" t="str">
        <f>IFERROR(VLOOKUP('別紙様式2-2（４・５月分）'!AR164,【参考】数式用!$AT$5:$AV$22,3,FALSE),"")</f>
        <v/>
      </c>
      <c r="R216" s="1405" t="s">
        <v>2190</v>
      </c>
      <c r="S216" s="1407" t="str">
        <f>IFERROR(VLOOKUP(K214,【参考】数式用!$A$5:$AB$27,MATCH(Q216,【参考】数式用!$B$4:$AB$4,0)+1,0),"")</f>
        <v/>
      </c>
      <c r="T216" s="1409" t="s">
        <v>217</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5" t="s">
        <v>38</v>
      </c>
      <c r="AI216" s="1367" t="str">
        <f>IFERROR(ROUNDDOWN(ROUND(L214*V216,0)*M214,0)*AG216,"")</f>
        <v/>
      </c>
      <c r="AJ216" s="1369" t="str">
        <f>IFERROR(ROUNDDOWN(ROUND((L214*(V216-AX214)),0)*M214,0)*AG216,"")</f>
        <v/>
      </c>
      <c r="AK216" s="1371">
        <f>IFERROR(IF(OR(N214="",N215="",N217=""),0,ROUNDDOWN(ROUNDDOWN(ROUND(L214*VLOOKUP(K214,【参考】数式用!$A$5:$AB$27,MATCH("新加算Ⅳ",【参考】数式用!$B$4:$AB$4,0)+1,0),0)*M214,0)*AG216*0.5,0)),"")</f>
        <v>0</v>
      </c>
      <c r="AL216" s="1361" t="str">
        <f t="shared" ref="AL216" si="159">IF(U216&lt;&gt;"","新規に適用","")</f>
        <v/>
      </c>
      <c r="AM216" s="1373">
        <f>IFERROR(IF(OR(N217="ベア加算",N217=""),0, IF(OR(U214="新加算Ⅰ",U214="新加算Ⅱ",U214="新加算Ⅲ",U214="新加算Ⅳ"),0,ROUNDDOWN(ROUND(L214*VLOOKUP(K214,【参考】数式用!$A$5:$I$27,MATCH("ベア加算",【参考】数式用!$B$4:$I$4,0)+1,0),0)*M214,0)*AG216)),"")</f>
        <v>0</v>
      </c>
      <c r="AN216" s="1345" t="str">
        <f>IF(AND(U216&lt;&gt;"",AN214=""),"新規に適用",IF(AND(U216&lt;&gt;"",AN214&lt;&gt;""),"継続で適用",""))</f>
        <v/>
      </c>
      <c r="AO216" s="1345" t="str">
        <f>IF(AND(U216&lt;&gt;"",AO214=""),"新規に適用",IF(AND(U216&lt;&gt;"",AO214&lt;&gt;""),"継続で適用",""))</f>
        <v/>
      </c>
      <c r="AP216" s="1391"/>
      <c r="AQ216" s="1345" t="str">
        <f>IF(AND(U216&lt;&gt;"",AQ214=""),"新規に適用",IF(AND(U216&lt;&gt;"",AQ214&lt;&gt;""),"継続で適用",""))</f>
        <v/>
      </c>
      <c r="AR216" s="1349" t="str">
        <f t="shared" si="121"/>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316"/>
      <c r="B217" s="1439"/>
      <c r="C217" s="1440"/>
      <c r="D217" s="1440"/>
      <c r="E217" s="1440"/>
      <c r="F217" s="1441"/>
      <c r="G217" s="1269"/>
      <c r="H217" s="1269"/>
      <c r="I217" s="1269"/>
      <c r="J217" s="1444"/>
      <c r="K217" s="1269"/>
      <c r="L217" s="1275"/>
      <c r="M217" s="1278"/>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66"/>
      <c r="AI217" s="1368"/>
      <c r="AJ217" s="1370"/>
      <c r="AK217" s="1372"/>
      <c r="AL217" s="1362"/>
      <c r="AM217" s="1374"/>
      <c r="AN217" s="1346"/>
      <c r="AO217" s="1346"/>
      <c r="AP217" s="1392"/>
      <c r="AQ217" s="1346"/>
      <c r="AR217" s="1350"/>
      <c r="AS217" s="1346"/>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43" t="str">
        <f>IF(基本情報入力シート!X105="","",基本情報入力シート!X105)</f>
        <v/>
      </c>
      <c r="K218" s="1268" t="str">
        <f>IF(基本情報入力シート!Y105="","",基本情報入力シート!Y105)</f>
        <v/>
      </c>
      <c r="L218" s="1274"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2173</v>
      </c>
      <c r="U218" s="1433"/>
      <c r="V218" s="1435" t="str">
        <f>IFERROR(VLOOKUP(K218,【参考】数式用!$A$5:$AB$27,MATCH(U218,【参考】数式用!$B$4:$AB$4,0)+1,0),"")</f>
        <v/>
      </c>
      <c r="W218" s="1437" t="s">
        <v>19</v>
      </c>
      <c r="X218" s="1375">
        <v>6</v>
      </c>
      <c r="Y218" s="1377" t="s">
        <v>10</v>
      </c>
      <c r="Z218" s="1375">
        <v>6</v>
      </c>
      <c r="AA218" s="1377" t="s">
        <v>45</v>
      </c>
      <c r="AB218" s="1375">
        <v>7</v>
      </c>
      <c r="AC218" s="1377" t="s">
        <v>10</v>
      </c>
      <c r="AD218" s="1375">
        <v>3</v>
      </c>
      <c r="AE218" s="1377" t="s">
        <v>13</v>
      </c>
      <c r="AF218" s="1377" t="s">
        <v>24</v>
      </c>
      <c r="AG218" s="1377">
        <f>IF(X218&gt;=1,(AB218*12+AD218)-(X218*12+Z218)+1,"")</f>
        <v>10</v>
      </c>
      <c r="AH218" s="1379" t="s">
        <v>38</v>
      </c>
      <c r="AI218" s="1381" t="str">
        <f>IFERROR(ROUNDDOWN(ROUND(L218*V218,0)*M218,0)*AG218,"")</f>
        <v/>
      </c>
      <c r="AJ218" s="1383" t="str">
        <f>IFERROR(ROUNDDOWN(ROUND((L218*(V218-AX218)),0)*M218,0)*AG218,"")</f>
        <v/>
      </c>
      <c r="AK218" s="1385">
        <f>IFERROR(IF(OR(N218="",N219="",N221=""),0,ROUNDDOWN(ROUNDDOWN(ROUND(L218*VLOOKUP(K218,【参考】数式用!$A$5:$AB$27,MATCH("新加算Ⅳ",【参考】数式用!$B$4:$AB$4,0)+1,0),0)*M218,0)*AG218*0.5,0)),"")</f>
        <v>0</v>
      </c>
      <c r="AL218" s="1363"/>
      <c r="AM218" s="138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3"/>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2098</v>
      </c>
      <c r="BA218" s="1247" t="s">
        <v>2099</v>
      </c>
      <c r="BB218" s="1247" t="s">
        <v>2100</v>
      </c>
      <c r="BC218" s="1247" t="s">
        <v>2101</v>
      </c>
      <c r="BD218" s="1247" t="str">
        <f>IF(AND(P218&lt;&gt;"新加算Ⅰ",P218&lt;&gt;"新加算Ⅱ",P218&lt;&gt;"新加算Ⅲ",P218&lt;&gt;"新加算Ⅳ"),P218,IF(Q220&lt;&gt;"",Q220,""))</f>
        <v/>
      </c>
      <c r="BE218" s="1247"/>
      <c r="BF218" s="1247" t="str">
        <f t="shared" ref="BF218" si="161">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315"/>
      <c r="B219" s="1301"/>
      <c r="C219" s="1302"/>
      <c r="D219" s="1302"/>
      <c r="E219" s="1302"/>
      <c r="F219" s="1303"/>
      <c r="G219" s="1268"/>
      <c r="H219" s="1268"/>
      <c r="I219" s="1268"/>
      <c r="J219" s="1443"/>
      <c r="K219" s="1268"/>
      <c r="L219" s="1274"/>
      <c r="M219" s="1445"/>
      <c r="N219" s="1399" t="str">
        <f>IF('別紙様式2-2（４・５月分）'!Q168="","",'別紙様式2-2（４・５月分）'!Q168)</f>
        <v/>
      </c>
      <c r="O219" s="1420"/>
      <c r="P219" s="1426"/>
      <c r="Q219" s="1427"/>
      <c r="R219" s="1428"/>
      <c r="S219" s="1430"/>
      <c r="T219" s="1432"/>
      <c r="U219" s="1434"/>
      <c r="V219" s="1436"/>
      <c r="W219" s="1438"/>
      <c r="X219" s="1376"/>
      <c r="Y219" s="1378"/>
      <c r="Z219" s="1376"/>
      <c r="AA219" s="1378"/>
      <c r="AB219" s="1376"/>
      <c r="AC219" s="1378"/>
      <c r="AD219" s="1376"/>
      <c r="AE219" s="1378"/>
      <c r="AF219" s="1378"/>
      <c r="AG219" s="1378"/>
      <c r="AH219" s="1380"/>
      <c r="AI219" s="1382"/>
      <c r="AJ219" s="1384"/>
      <c r="AK219" s="1386"/>
      <c r="AL219" s="1364"/>
      <c r="AM219" s="1388"/>
      <c r="AN219" s="1360"/>
      <c r="AO219" s="1390"/>
      <c r="AP219" s="1394"/>
      <c r="AQ219" s="1394"/>
      <c r="AR219" s="1396"/>
      <c r="AS219" s="1348"/>
      <c r="AT219" s="1334" t="str">
        <f t="shared" si="155"/>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1"/>
      <c r="C220" s="1302"/>
      <c r="D220" s="1302"/>
      <c r="E220" s="1302"/>
      <c r="F220" s="1303"/>
      <c r="G220" s="1268"/>
      <c r="H220" s="1268"/>
      <c r="I220" s="1268"/>
      <c r="J220" s="1443"/>
      <c r="K220" s="1268"/>
      <c r="L220" s="1274"/>
      <c r="M220" s="1445"/>
      <c r="N220" s="1400"/>
      <c r="O220" s="1421"/>
      <c r="P220" s="1401" t="s">
        <v>2179</v>
      </c>
      <c r="Q220" s="1403" t="str">
        <f>IFERROR(VLOOKUP('別紙様式2-2（４・５月分）'!AR167,【参考】数式用!$AT$5:$AV$22,3,FALSE),"")</f>
        <v/>
      </c>
      <c r="R220" s="1405" t="s">
        <v>2190</v>
      </c>
      <c r="S220" s="1447" t="str">
        <f>IFERROR(VLOOKUP(K218,【参考】数式用!$A$5:$AB$27,MATCH(Q220,【参考】数式用!$B$4:$AB$4,0)+1,0),"")</f>
        <v/>
      </c>
      <c r="T220" s="1409" t="s">
        <v>217</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5" t="s">
        <v>38</v>
      </c>
      <c r="AI220" s="1367" t="str">
        <f>IFERROR(ROUNDDOWN(ROUND(L218*V220,0)*M218,0)*AG220,"")</f>
        <v/>
      </c>
      <c r="AJ220" s="1369" t="str">
        <f>IFERROR(ROUNDDOWN(ROUND((L218*(V220-AX218)),0)*M218,0)*AG220,"")</f>
        <v/>
      </c>
      <c r="AK220" s="1371">
        <f>IFERROR(IF(OR(N218="",N219="",N221=""),0,ROUNDDOWN(ROUNDDOWN(ROUND(L218*VLOOKUP(K218,【参考】数式用!$A$5:$AB$27,MATCH("新加算Ⅳ",【参考】数式用!$B$4:$AB$4,0)+1,0),0)*M218,0)*AG220*0.5,0)),"")</f>
        <v>0</v>
      </c>
      <c r="AL220" s="1361" t="str">
        <f t="shared" ref="AL220" si="162">IF(U220&lt;&gt;"","新規に適用","")</f>
        <v/>
      </c>
      <c r="AM220" s="1373">
        <f>IFERROR(IF(OR(N221="ベア加算",N221=""),0, IF(OR(U218="新加算Ⅰ",U218="新加算Ⅱ",U218="新加算Ⅲ",U218="新加算Ⅳ"),0,ROUNDDOWN(ROUND(L218*VLOOKUP(K218,【参考】数式用!$A$5:$I$27,MATCH("ベア加算",【参考】数式用!$B$4:$I$4,0)+1,0),0)*M218,0)*AG220)),"")</f>
        <v>0</v>
      </c>
      <c r="AN220" s="1345" t="str">
        <f>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1"/>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316"/>
      <c r="B221" s="1439"/>
      <c r="C221" s="1440"/>
      <c r="D221" s="1440"/>
      <c r="E221" s="1440"/>
      <c r="F221" s="1441"/>
      <c r="G221" s="1269"/>
      <c r="H221" s="1269"/>
      <c r="I221" s="1269"/>
      <c r="J221" s="1444"/>
      <c r="K221" s="1269"/>
      <c r="L221" s="1275"/>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66"/>
      <c r="AI221" s="1368"/>
      <c r="AJ221" s="1370"/>
      <c r="AK221" s="1372"/>
      <c r="AL221" s="1362"/>
      <c r="AM221" s="1374"/>
      <c r="AN221" s="1346"/>
      <c r="AO221" s="1346"/>
      <c r="AP221" s="1392"/>
      <c r="AQ221" s="1346"/>
      <c r="AR221" s="1350"/>
      <c r="AS221" s="1346"/>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314">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4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2173</v>
      </c>
      <c r="U222" s="1433"/>
      <c r="V222" s="1435" t="str">
        <f>IFERROR(VLOOKUP(K222,【参考】数式用!$A$5:$AB$27,MATCH(U222,【参考】数式用!$B$4:$AB$4,0)+1,0),"")</f>
        <v/>
      </c>
      <c r="W222" s="1437" t="s">
        <v>19</v>
      </c>
      <c r="X222" s="1375">
        <v>6</v>
      </c>
      <c r="Y222" s="1377" t="s">
        <v>10</v>
      </c>
      <c r="Z222" s="1375">
        <v>6</v>
      </c>
      <c r="AA222" s="1377" t="s">
        <v>45</v>
      </c>
      <c r="AB222" s="1375">
        <v>7</v>
      </c>
      <c r="AC222" s="1377" t="s">
        <v>10</v>
      </c>
      <c r="AD222" s="1375">
        <v>3</v>
      </c>
      <c r="AE222" s="1377" t="s">
        <v>13</v>
      </c>
      <c r="AF222" s="1377" t="s">
        <v>24</v>
      </c>
      <c r="AG222" s="1377">
        <f>IF(X222&gt;=1,(AB222*12+AD222)-(X222*12+Z222)+1,"")</f>
        <v>10</v>
      </c>
      <c r="AH222" s="1379" t="s">
        <v>38</v>
      </c>
      <c r="AI222" s="1381" t="str">
        <f>IFERROR(ROUNDDOWN(ROUND(L222*V222,0)*M222,0)*AG222,"")</f>
        <v/>
      </c>
      <c r="AJ222" s="1383" t="str">
        <f>IFERROR(ROUNDDOWN(ROUND((L222*(V222-AX222)),0)*M222,0)*AG222,"")</f>
        <v/>
      </c>
      <c r="AK222" s="1385">
        <f>IFERROR(IF(OR(N222="",N223="",N225=""),0,ROUNDDOWN(ROUNDDOWN(ROUND(L222*VLOOKUP(K222,【参考】数式用!$A$5:$AB$27,MATCH("新加算Ⅳ",【参考】数式用!$B$4:$AB$4,0)+1,0),0)*M222,0)*AG222*0.5,0)),"")</f>
        <v>0</v>
      </c>
      <c r="AL222" s="1363"/>
      <c r="AM222" s="138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3"/>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2098</v>
      </c>
      <c r="BA222" s="1247" t="s">
        <v>2099</v>
      </c>
      <c r="BB222" s="1247" t="s">
        <v>2100</v>
      </c>
      <c r="BC222" s="1247" t="s">
        <v>2101</v>
      </c>
      <c r="BD222" s="1247" t="str">
        <f>IF(AND(P222&lt;&gt;"新加算Ⅰ",P222&lt;&gt;"新加算Ⅱ",P222&lt;&gt;"新加算Ⅲ",P222&lt;&gt;"新加算Ⅳ"),P222,IF(Q224&lt;&gt;"",Q224,""))</f>
        <v/>
      </c>
      <c r="BE222" s="1247"/>
      <c r="BF222" s="1247" t="str">
        <f t="shared" ref="BF222" si="164">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315"/>
      <c r="B223" s="1301"/>
      <c r="C223" s="1302"/>
      <c r="D223" s="1302"/>
      <c r="E223" s="1302"/>
      <c r="F223" s="1303"/>
      <c r="G223" s="1268"/>
      <c r="H223" s="1268"/>
      <c r="I223" s="1268"/>
      <c r="J223" s="1443"/>
      <c r="K223" s="1268"/>
      <c r="L223" s="1274"/>
      <c r="M223" s="1277"/>
      <c r="N223" s="1399" t="str">
        <f>IF('別紙様式2-2（４・５月分）'!Q171="","",'別紙様式2-2（４・５月分）'!Q171)</f>
        <v/>
      </c>
      <c r="O223" s="1420"/>
      <c r="P223" s="1426"/>
      <c r="Q223" s="1427"/>
      <c r="R223" s="1428"/>
      <c r="S223" s="1430"/>
      <c r="T223" s="1432"/>
      <c r="U223" s="1434"/>
      <c r="V223" s="1436"/>
      <c r="W223" s="1438"/>
      <c r="X223" s="1376"/>
      <c r="Y223" s="1378"/>
      <c r="Z223" s="1376"/>
      <c r="AA223" s="1378"/>
      <c r="AB223" s="1376"/>
      <c r="AC223" s="1378"/>
      <c r="AD223" s="1376"/>
      <c r="AE223" s="1378"/>
      <c r="AF223" s="1378"/>
      <c r="AG223" s="1378"/>
      <c r="AH223" s="1380"/>
      <c r="AI223" s="1382"/>
      <c r="AJ223" s="1384"/>
      <c r="AK223" s="1386"/>
      <c r="AL223" s="1364"/>
      <c r="AM223" s="1388"/>
      <c r="AN223" s="1360"/>
      <c r="AO223" s="1390"/>
      <c r="AP223" s="1394"/>
      <c r="AQ223" s="1394"/>
      <c r="AR223" s="1396"/>
      <c r="AS223" s="1348"/>
      <c r="AT223" s="1334" t="str">
        <f t="shared" si="155"/>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1"/>
      <c r="C224" s="1302"/>
      <c r="D224" s="1302"/>
      <c r="E224" s="1302"/>
      <c r="F224" s="1303"/>
      <c r="G224" s="1268"/>
      <c r="H224" s="1268"/>
      <c r="I224" s="1268"/>
      <c r="J224" s="1443"/>
      <c r="K224" s="1268"/>
      <c r="L224" s="1274"/>
      <c r="M224" s="1277"/>
      <c r="N224" s="1400"/>
      <c r="O224" s="1421"/>
      <c r="P224" s="1401" t="s">
        <v>2179</v>
      </c>
      <c r="Q224" s="1403" t="str">
        <f>IFERROR(VLOOKUP('別紙様式2-2（４・５月分）'!AR170,【参考】数式用!$AT$5:$AV$22,3,FALSE),"")</f>
        <v/>
      </c>
      <c r="R224" s="1405" t="s">
        <v>2190</v>
      </c>
      <c r="S224" s="1407" t="str">
        <f>IFERROR(VLOOKUP(K222,【参考】数式用!$A$5:$AB$27,MATCH(Q224,【参考】数式用!$B$4:$AB$4,0)+1,0),"")</f>
        <v/>
      </c>
      <c r="T224" s="1409" t="s">
        <v>217</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5" t="s">
        <v>38</v>
      </c>
      <c r="AI224" s="1367" t="str">
        <f>IFERROR(ROUNDDOWN(ROUND(L222*V224,0)*M222,0)*AG224,"")</f>
        <v/>
      </c>
      <c r="AJ224" s="1369" t="str">
        <f>IFERROR(ROUNDDOWN(ROUND((L222*(V224-AX222)),0)*M222,0)*AG224,"")</f>
        <v/>
      </c>
      <c r="AK224" s="1371">
        <f>IFERROR(IF(OR(N222="",N223="",N225=""),0,ROUNDDOWN(ROUNDDOWN(ROUND(L222*VLOOKUP(K222,【参考】数式用!$A$5:$AB$27,MATCH("新加算Ⅳ",【参考】数式用!$B$4:$AB$4,0)+1,0),0)*M222,0)*AG224*0.5,0)),"")</f>
        <v>0</v>
      </c>
      <c r="AL224" s="1361" t="str">
        <f t="shared" ref="AL224" si="165">IF(U224&lt;&gt;"","新規に適用","")</f>
        <v/>
      </c>
      <c r="AM224" s="1373">
        <f>IFERROR(IF(OR(N225="ベア加算",N225=""),0, IF(OR(U222="新加算Ⅰ",U222="新加算Ⅱ",U222="新加算Ⅲ",U222="新加算Ⅳ"),0,ROUNDDOWN(ROUND(L222*VLOOKUP(K222,【参考】数式用!$A$5:$I$27,MATCH("ベア加算",【参考】数式用!$B$4:$I$4,0)+1,0),0)*M222,0)*AG224)),"")</f>
        <v>0</v>
      </c>
      <c r="AN224" s="1345" t="str">
        <f>IF(AND(U224&lt;&gt;"",AN222=""),"新規に適用",IF(AND(U224&lt;&gt;"",AN222&lt;&gt;""),"継続で適用",""))</f>
        <v/>
      </c>
      <c r="AO224" s="1345" t="str">
        <f>IF(AND(U224&lt;&gt;"",AO222=""),"新規に適用",IF(AND(U224&lt;&gt;"",AO222&lt;&gt;""),"継続で適用",""))</f>
        <v/>
      </c>
      <c r="AP224" s="1391"/>
      <c r="AQ224" s="1345" t="str">
        <f>IF(AND(U224&lt;&gt;"",AQ222=""),"新規に適用",IF(AND(U224&lt;&gt;"",AQ222&lt;&gt;""),"継続で適用",""))</f>
        <v/>
      </c>
      <c r="AR224" s="1349" t="str">
        <f t="shared" si="121"/>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316"/>
      <c r="B225" s="1439"/>
      <c r="C225" s="1440"/>
      <c r="D225" s="1440"/>
      <c r="E225" s="1440"/>
      <c r="F225" s="1441"/>
      <c r="G225" s="1269"/>
      <c r="H225" s="1269"/>
      <c r="I225" s="1269"/>
      <c r="J225" s="1444"/>
      <c r="K225" s="1269"/>
      <c r="L225" s="1275"/>
      <c r="M225" s="1278"/>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66"/>
      <c r="AI225" s="1368"/>
      <c r="AJ225" s="1370"/>
      <c r="AK225" s="1372"/>
      <c r="AL225" s="1362"/>
      <c r="AM225" s="1374"/>
      <c r="AN225" s="1346"/>
      <c r="AO225" s="1346"/>
      <c r="AP225" s="1392"/>
      <c r="AQ225" s="1346"/>
      <c r="AR225" s="1350"/>
      <c r="AS225" s="1346"/>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43" t="str">
        <f>IF(基本情報入力シート!X107="","",基本情報入力シート!X107)</f>
        <v/>
      </c>
      <c r="K226" s="1268" t="str">
        <f>IF(基本情報入力シート!Y107="","",基本情報入力シート!Y107)</f>
        <v/>
      </c>
      <c r="L226" s="1274"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2173</v>
      </c>
      <c r="U226" s="1433"/>
      <c r="V226" s="1435" t="str">
        <f>IFERROR(VLOOKUP(K226,【参考】数式用!$A$5:$AB$27,MATCH(U226,【参考】数式用!$B$4:$AB$4,0)+1,0),"")</f>
        <v/>
      </c>
      <c r="W226" s="1437" t="s">
        <v>19</v>
      </c>
      <c r="X226" s="1375">
        <v>6</v>
      </c>
      <c r="Y226" s="1377" t="s">
        <v>10</v>
      </c>
      <c r="Z226" s="1375">
        <v>6</v>
      </c>
      <c r="AA226" s="1377" t="s">
        <v>45</v>
      </c>
      <c r="AB226" s="1375">
        <v>7</v>
      </c>
      <c r="AC226" s="1377" t="s">
        <v>10</v>
      </c>
      <c r="AD226" s="1375">
        <v>3</v>
      </c>
      <c r="AE226" s="1377" t="s">
        <v>13</v>
      </c>
      <c r="AF226" s="1377" t="s">
        <v>24</v>
      </c>
      <c r="AG226" s="1377">
        <f>IF(X226&gt;=1,(AB226*12+AD226)-(X226*12+Z226)+1,"")</f>
        <v>10</v>
      </c>
      <c r="AH226" s="1379" t="s">
        <v>38</v>
      </c>
      <c r="AI226" s="1381" t="str">
        <f>IFERROR(ROUNDDOWN(ROUND(L226*V226,0)*M226,0)*AG226,"")</f>
        <v/>
      </c>
      <c r="AJ226" s="1383" t="str">
        <f>IFERROR(ROUNDDOWN(ROUND((L226*(V226-AX226)),0)*M226,0)*AG226,"")</f>
        <v/>
      </c>
      <c r="AK226" s="1385">
        <f>IFERROR(IF(OR(N226="",N227="",N229=""),0,ROUNDDOWN(ROUNDDOWN(ROUND(L226*VLOOKUP(K226,【参考】数式用!$A$5:$AB$27,MATCH("新加算Ⅳ",【参考】数式用!$B$4:$AB$4,0)+1,0),0)*M226,0)*AG226*0.5,0)),"")</f>
        <v>0</v>
      </c>
      <c r="AL226" s="1363"/>
      <c r="AM226" s="138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3"/>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2098</v>
      </c>
      <c r="BA226" s="1247" t="s">
        <v>2099</v>
      </c>
      <c r="BB226" s="1247" t="s">
        <v>2100</v>
      </c>
      <c r="BC226" s="1247" t="s">
        <v>2101</v>
      </c>
      <c r="BD226" s="1247" t="str">
        <f>IF(AND(P226&lt;&gt;"新加算Ⅰ",P226&lt;&gt;"新加算Ⅱ",P226&lt;&gt;"新加算Ⅲ",P226&lt;&gt;"新加算Ⅳ"),P226,IF(Q228&lt;&gt;"",Q228,""))</f>
        <v/>
      </c>
      <c r="BE226" s="1247"/>
      <c r="BF226" s="1247" t="str">
        <f t="shared" ref="BF226" si="167">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315"/>
      <c r="B227" s="1301"/>
      <c r="C227" s="1302"/>
      <c r="D227" s="1302"/>
      <c r="E227" s="1302"/>
      <c r="F227" s="1303"/>
      <c r="G227" s="1268"/>
      <c r="H227" s="1268"/>
      <c r="I227" s="1268"/>
      <c r="J227" s="1443"/>
      <c r="K227" s="1268"/>
      <c r="L227" s="1274"/>
      <c r="M227" s="1445"/>
      <c r="N227" s="1399" t="str">
        <f>IF('別紙様式2-2（４・５月分）'!Q174="","",'別紙様式2-2（４・５月分）'!Q174)</f>
        <v/>
      </c>
      <c r="O227" s="1420"/>
      <c r="P227" s="1426"/>
      <c r="Q227" s="1427"/>
      <c r="R227" s="1428"/>
      <c r="S227" s="1430"/>
      <c r="T227" s="1432"/>
      <c r="U227" s="1434"/>
      <c r="V227" s="1436"/>
      <c r="W227" s="1438"/>
      <c r="X227" s="1376"/>
      <c r="Y227" s="1378"/>
      <c r="Z227" s="1376"/>
      <c r="AA227" s="1378"/>
      <c r="AB227" s="1376"/>
      <c r="AC227" s="1378"/>
      <c r="AD227" s="1376"/>
      <c r="AE227" s="1378"/>
      <c r="AF227" s="1378"/>
      <c r="AG227" s="1378"/>
      <c r="AH227" s="1380"/>
      <c r="AI227" s="1382"/>
      <c r="AJ227" s="1384"/>
      <c r="AK227" s="1386"/>
      <c r="AL227" s="1364"/>
      <c r="AM227" s="1388"/>
      <c r="AN227" s="1360"/>
      <c r="AO227" s="1390"/>
      <c r="AP227" s="1394"/>
      <c r="AQ227" s="1394"/>
      <c r="AR227" s="1396"/>
      <c r="AS227" s="1348"/>
      <c r="AT227" s="1334" t="str">
        <f t="shared" si="155"/>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1"/>
      <c r="C228" s="1302"/>
      <c r="D228" s="1302"/>
      <c r="E228" s="1302"/>
      <c r="F228" s="1303"/>
      <c r="G228" s="1268"/>
      <c r="H228" s="1268"/>
      <c r="I228" s="1268"/>
      <c r="J228" s="1443"/>
      <c r="K228" s="1268"/>
      <c r="L228" s="1274"/>
      <c r="M228" s="1445"/>
      <c r="N228" s="1400"/>
      <c r="O228" s="1421"/>
      <c r="P228" s="1401" t="s">
        <v>2179</v>
      </c>
      <c r="Q228" s="1403" t="str">
        <f>IFERROR(VLOOKUP('別紙様式2-2（４・５月分）'!AR173,【参考】数式用!$AT$5:$AV$22,3,FALSE),"")</f>
        <v/>
      </c>
      <c r="R228" s="1405" t="s">
        <v>2190</v>
      </c>
      <c r="S228" s="1447" t="str">
        <f>IFERROR(VLOOKUP(K226,【参考】数式用!$A$5:$AB$27,MATCH(Q228,【参考】数式用!$B$4:$AB$4,0)+1,0),"")</f>
        <v/>
      </c>
      <c r="T228" s="1409" t="s">
        <v>217</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5" t="s">
        <v>38</v>
      </c>
      <c r="AI228" s="1367" t="str">
        <f>IFERROR(ROUNDDOWN(ROUND(L226*V228,0)*M226,0)*AG228,"")</f>
        <v/>
      </c>
      <c r="AJ228" s="1369" t="str">
        <f>IFERROR(ROUNDDOWN(ROUND((L226*(V228-AX226)),0)*M226,0)*AG228,"")</f>
        <v/>
      </c>
      <c r="AK228" s="1371">
        <f>IFERROR(IF(OR(N226="",N227="",N229=""),0,ROUNDDOWN(ROUNDDOWN(ROUND(L226*VLOOKUP(K226,【参考】数式用!$A$5:$AB$27,MATCH("新加算Ⅳ",【参考】数式用!$B$4:$AB$4,0)+1,0),0)*M226,0)*AG228*0.5,0)),"")</f>
        <v>0</v>
      </c>
      <c r="AL228" s="1361" t="str">
        <f t="shared" ref="AL228" si="168">IF(U228&lt;&gt;"","新規に適用","")</f>
        <v/>
      </c>
      <c r="AM228" s="1373">
        <f>IFERROR(IF(OR(N229="ベア加算",N229=""),0, IF(OR(U226="新加算Ⅰ",U226="新加算Ⅱ",U226="新加算Ⅲ",U226="新加算Ⅳ"),0,ROUNDDOWN(ROUND(L226*VLOOKUP(K226,【参考】数式用!$A$5:$I$27,MATCH("ベア加算",【参考】数式用!$B$4:$I$4,0)+1,0),0)*M226,0)*AG228)),"")</f>
        <v>0</v>
      </c>
      <c r="AN228" s="1345" t="str">
        <f>IF(AND(U228&lt;&gt;"",AN226=""),"新規に適用",IF(AND(U228&lt;&gt;"",AN226&lt;&gt;""),"継続で適用",""))</f>
        <v/>
      </c>
      <c r="AO228" s="1345" t="str">
        <f>IF(AND(U228&lt;&gt;"",AO226=""),"新規に適用",IF(AND(U228&lt;&gt;"",AO226&lt;&gt;""),"継続で適用",""))</f>
        <v/>
      </c>
      <c r="AP228" s="1391"/>
      <c r="AQ228" s="1345" t="str">
        <f>IF(AND(U228&lt;&gt;"",AQ226=""),"新規に適用",IF(AND(U228&lt;&gt;"",AQ226&lt;&gt;""),"継続で適用",""))</f>
        <v/>
      </c>
      <c r="AR228" s="1349" t="str">
        <f t="shared" si="121"/>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316"/>
      <c r="B229" s="1439"/>
      <c r="C229" s="1440"/>
      <c r="D229" s="1440"/>
      <c r="E229" s="1440"/>
      <c r="F229" s="1441"/>
      <c r="G229" s="1269"/>
      <c r="H229" s="1269"/>
      <c r="I229" s="1269"/>
      <c r="J229" s="1444"/>
      <c r="K229" s="1269"/>
      <c r="L229" s="1275"/>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66"/>
      <c r="AI229" s="1368"/>
      <c r="AJ229" s="1370"/>
      <c r="AK229" s="1372"/>
      <c r="AL229" s="1362"/>
      <c r="AM229" s="1374"/>
      <c r="AN229" s="1346"/>
      <c r="AO229" s="1346"/>
      <c r="AP229" s="1392"/>
      <c r="AQ229" s="1346"/>
      <c r="AR229" s="1350"/>
      <c r="AS229" s="1346"/>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314">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4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2173</v>
      </c>
      <c r="U230" s="1433"/>
      <c r="V230" s="1435" t="str">
        <f>IFERROR(VLOOKUP(K230,【参考】数式用!$A$5:$AB$27,MATCH(U230,【参考】数式用!$B$4:$AB$4,0)+1,0),"")</f>
        <v/>
      </c>
      <c r="W230" s="1437" t="s">
        <v>19</v>
      </c>
      <c r="X230" s="1375">
        <v>6</v>
      </c>
      <c r="Y230" s="1377" t="s">
        <v>10</v>
      </c>
      <c r="Z230" s="1375">
        <v>6</v>
      </c>
      <c r="AA230" s="1377" t="s">
        <v>45</v>
      </c>
      <c r="AB230" s="1375">
        <v>7</v>
      </c>
      <c r="AC230" s="1377" t="s">
        <v>10</v>
      </c>
      <c r="AD230" s="1375">
        <v>3</v>
      </c>
      <c r="AE230" s="1377" t="s">
        <v>13</v>
      </c>
      <c r="AF230" s="1377" t="s">
        <v>24</v>
      </c>
      <c r="AG230" s="1377">
        <f>IF(X230&gt;=1,(AB230*12+AD230)-(X230*12+Z230)+1,"")</f>
        <v>10</v>
      </c>
      <c r="AH230" s="1379" t="s">
        <v>38</v>
      </c>
      <c r="AI230" s="1381" t="str">
        <f>IFERROR(ROUNDDOWN(ROUND(L230*V230,0)*M230,0)*AG230,"")</f>
        <v/>
      </c>
      <c r="AJ230" s="1383" t="str">
        <f>IFERROR(ROUNDDOWN(ROUND((L230*(V230-AX230)),0)*M230,0)*AG230,"")</f>
        <v/>
      </c>
      <c r="AK230" s="1385">
        <f>IFERROR(IF(OR(N230="",N231="",N233=""),0,ROUNDDOWN(ROUNDDOWN(ROUND(L230*VLOOKUP(K230,【参考】数式用!$A$5:$AB$27,MATCH("新加算Ⅳ",【参考】数式用!$B$4:$AB$4,0)+1,0),0)*M230,0)*AG230*0.5,0)),"")</f>
        <v>0</v>
      </c>
      <c r="AL230" s="1363"/>
      <c r="AM230" s="138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3"/>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2098</v>
      </c>
      <c r="BA230" s="1247" t="s">
        <v>2099</v>
      </c>
      <c r="BB230" s="1247" t="s">
        <v>2100</v>
      </c>
      <c r="BC230" s="1247" t="s">
        <v>2101</v>
      </c>
      <c r="BD230" s="1247" t="str">
        <f>IF(AND(P230&lt;&gt;"新加算Ⅰ",P230&lt;&gt;"新加算Ⅱ",P230&lt;&gt;"新加算Ⅲ",P230&lt;&gt;"新加算Ⅳ"),P230,IF(Q232&lt;&gt;"",Q232,""))</f>
        <v/>
      </c>
      <c r="BE230" s="1247"/>
      <c r="BF230" s="1247" t="str">
        <f t="shared" ref="BF230" si="170">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315"/>
      <c r="B231" s="1301"/>
      <c r="C231" s="1302"/>
      <c r="D231" s="1302"/>
      <c r="E231" s="1302"/>
      <c r="F231" s="1303"/>
      <c r="G231" s="1268"/>
      <c r="H231" s="1268"/>
      <c r="I231" s="1268"/>
      <c r="J231" s="1443"/>
      <c r="K231" s="1268"/>
      <c r="L231" s="1274"/>
      <c r="M231" s="1277"/>
      <c r="N231" s="1399" t="str">
        <f>IF('別紙様式2-2（４・５月分）'!Q177="","",'別紙様式2-2（４・５月分）'!Q177)</f>
        <v/>
      </c>
      <c r="O231" s="1420"/>
      <c r="P231" s="1426"/>
      <c r="Q231" s="1427"/>
      <c r="R231" s="1428"/>
      <c r="S231" s="1430"/>
      <c r="T231" s="1432"/>
      <c r="U231" s="1434"/>
      <c r="V231" s="1436"/>
      <c r="W231" s="1438"/>
      <c r="X231" s="1376"/>
      <c r="Y231" s="1378"/>
      <c r="Z231" s="1376"/>
      <c r="AA231" s="1378"/>
      <c r="AB231" s="1376"/>
      <c r="AC231" s="1378"/>
      <c r="AD231" s="1376"/>
      <c r="AE231" s="1378"/>
      <c r="AF231" s="1378"/>
      <c r="AG231" s="1378"/>
      <c r="AH231" s="1380"/>
      <c r="AI231" s="1382"/>
      <c r="AJ231" s="1384"/>
      <c r="AK231" s="1386"/>
      <c r="AL231" s="1364"/>
      <c r="AM231" s="1388"/>
      <c r="AN231" s="1360"/>
      <c r="AO231" s="1390"/>
      <c r="AP231" s="1394"/>
      <c r="AQ231" s="1394"/>
      <c r="AR231" s="1396"/>
      <c r="AS231" s="1348"/>
      <c r="AT231" s="1334" t="str">
        <f t="shared" si="155"/>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1"/>
      <c r="C232" s="1302"/>
      <c r="D232" s="1302"/>
      <c r="E232" s="1302"/>
      <c r="F232" s="1303"/>
      <c r="G232" s="1268"/>
      <c r="H232" s="1268"/>
      <c r="I232" s="1268"/>
      <c r="J232" s="1443"/>
      <c r="K232" s="1268"/>
      <c r="L232" s="1274"/>
      <c r="M232" s="1277"/>
      <c r="N232" s="1400"/>
      <c r="O232" s="1421"/>
      <c r="P232" s="1401" t="s">
        <v>2179</v>
      </c>
      <c r="Q232" s="1403" t="str">
        <f>IFERROR(VLOOKUP('別紙様式2-2（４・５月分）'!AR176,【参考】数式用!$AT$5:$AV$22,3,FALSE),"")</f>
        <v/>
      </c>
      <c r="R232" s="1405" t="s">
        <v>2190</v>
      </c>
      <c r="S232" s="1407" t="str">
        <f>IFERROR(VLOOKUP(K230,【参考】数式用!$A$5:$AB$27,MATCH(Q232,【参考】数式用!$B$4:$AB$4,0)+1,0),"")</f>
        <v/>
      </c>
      <c r="T232" s="1409" t="s">
        <v>217</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5" t="s">
        <v>38</v>
      </c>
      <c r="AI232" s="1367" t="str">
        <f>IFERROR(ROUNDDOWN(ROUND(L230*V232,0)*M230,0)*AG232,"")</f>
        <v/>
      </c>
      <c r="AJ232" s="1369" t="str">
        <f>IFERROR(ROUNDDOWN(ROUND((L230*(V232-AX230)),0)*M230,0)*AG232,"")</f>
        <v/>
      </c>
      <c r="AK232" s="1371">
        <f>IFERROR(IF(OR(N230="",N231="",N233=""),0,ROUNDDOWN(ROUNDDOWN(ROUND(L230*VLOOKUP(K230,【参考】数式用!$A$5:$AB$27,MATCH("新加算Ⅳ",【参考】数式用!$B$4:$AB$4,0)+1,0),0)*M230,0)*AG232*0.5,0)),"")</f>
        <v>0</v>
      </c>
      <c r="AL232" s="1361" t="str">
        <f t="shared" ref="AL232" si="171">IF(U232&lt;&gt;"","新規に適用","")</f>
        <v/>
      </c>
      <c r="AM232" s="1373">
        <f>IFERROR(IF(OR(N233="ベア加算",N233=""),0, IF(OR(U230="新加算Ⅰ",U230="新加算Ⅱ",U230="新加算Ⅲ",U230="新加算Ⅳ"),0,ROUNDDOWN(ROUND(L230*VLOOKUP(K230,【参考】数式用!$A$5:$I$27,MATCH("ベア加算",【参考】数式用!$B$4:$I$4,0)+1,0),0)*M230,0)*AG232)),"")</f>
        <v>0</v>
      </c>
      <c r="AN232" s="1345" t="str">
        <f>IF(AND(U232&lt;&gt;"",AN230=""),"新規に適用",IF(AND(U232&lt;&gt;"",AN230&lt;&gt;""),"継続で適用",""))</f>
        <v/>
      </c>
      <c r="AO232" s="1345" t="str">
        <f>IF(AND(U232&lt;&gt;"",AO230=""),"新規に適用",IF(AND(U232&lt;&gt;"",AO230&lt;&gt;""),"継続で適用",""))</f>
        <v/>
      </c>
      <c r="AP232" s="1391"/>
      <c r="AQ232" s="1345" t="str">
        <f>IF(AND(U232&lt;&gt;"",AQ230=""),"新規に適用",IF(AND(U232&lt;&gt;"",AQ230&lt;&gt;""),"継続で適用",""))</f>
        <v/>
      </c>
      <c r="AR232" s="1349"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316"/>
      <c r="B233" s="1439"/>
      <c r="C233" s="1440"/>
      <c r="D233" s="1440"/>
      <c r="E233" s="1440"/>
      <c r="F233" s="1441"/>
      <c r="G233" s="1269"/>
      <c r="H233" s="1269"/>
      <c r="I233" s="1269"/>
      <c r="J233" s="1444"/>
      <c r="K233" s="1269"/>
      <c r="L233" s="1275"/>
      <c r="M233" s="1278"/>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66"/>
      <c r="AI233" s="1368"/>
      <c r="AJ233" s="1370"/>
      <c r="AK233" s="1372"/>
      <c r="AL233" s="1362"/>
      <c r="AM233" s="1374"/>
      <c r="AN233" s="1346"/>
      <c r="AO233" s="1346"/>
      <c r="AP233" s="1392"/>
      <c r="AQ233" s="1346"/>
      <c r="AR233" s="1350"/>
      <c r="AS233" s="1346"/>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43" t="str">
        <f>IF(基本情報入力シート!X109="","",基本情報入力シート!X109)</f>
        <v/>
      </c>
      <c r="K234" s="1268" t="str">
        <f>IF(基本情報入力シート!Y109="","",基本情報入力シート!Y109)</f>
        <v/>
      </c>
      <c r="L234" s="1274"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2173</v>
      </c>
      <c r="U234" s="1433"/>
      <c r="V234" s="1435" t="str">
        <f>IFERROR(VLOOKUP(K234,【参考】数式用!$A$5:$AB$27,MATCH(U234,【参考】数式用!$B$4:$AB$4,0)+1,0),"")</f>
        <v/>
      </c>
      <c r="W234" s="1437" t="s">
        <v>19</v>
      </c>
      <c r="X234" s="1375">
        <v>6</v>
      </c>
      <c r="Y234" s="1377" t="s">
        <v>10</v>
      </c>
      <c r="Z234" s="1375">
        <v>6</v>
      </c>
      <c r="AA234" s="1377" t="s">
        <v>45</v>
      </c>
      <c r="AB234" s="1375">
        <v>7</v>
      </c>
      <c r="AC234" s="1377" t="s">
        <v>10</v>
      </c>
      <c r="AD234" s="1375">
        <v>3</v>
      </c>
      <c r="AE234" s="1377" t="s">
        <v>13</v>
      </c>
      <c r="AF234" s="1377" t="s">
        <v>24</v>
      </c>
      <c r="AG234" s="1377">
        <f>IF(X234&gt;=1,(AB234*12+AD234)-(X234*12+Z234)+1,"")</f>
        <v>10</v>
      </c>
      <c r="AH234" s="1379" t="s">
        <v>38</v>
      </c>
      <c r="AI234" s="1381" t="str">
        <f>IFERROR(ROUNDDOWN(ROUND(L234*V234,0)*M234,0)*AG234,"")</f>
        <v/>
      </c>
      <c r="AJ234" s="1383" t="str">
        <f>IFERROR(ROUNDDOWN(ROUND((L234*(V234-AX234)),0)*M234,0)*AG234,"")</f>
        <v/>
      </c>
      <c r="AK234" s="1385">
        <f>IFERROR(IF(OR(N234="",N235="",N237=""),0,ROUNDDOWN(ROUNDDOWN(ROUND(L234*VLOOKUP(K234,【参考】数式用!$A$5:$AB$27,MATCH("新加算Ⅳ",【参考】数式用!$B$4:$AB$4,0)+1,0),0)*M234,0)*AG234*0.5,0)),"")</f>
        <v>0</v>
      </c>
      <c r="AL234" s="1363"/>
      <c r="AM234" s="138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3"/>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2098</v>
      </c>
      <c r="BA234" s="1247" t="s">
        <v>2099</v>
      </c>
      <c r="BB234" s="1247" t="s">
        <v>2100</v>
      </c>
      <c r="BC234" s="1247" t="s">
        <v>2101</v>
      </c>
      <c r="BD234" s="1247" t="str">
        <f>IF(AND(P234&lt;&gt;"新加算Ⅰ",P234&lt;&gt;"新加算Ⅱ",P234&lt;&gt;"新加算Ⅲ",P234&lt;&gt;"新加算Ⅳ"),P234,IF(Q236&lt;&gt;"",Q236,""))</f>
        <v/>
      </c>
      <c r="BE234" s="1247"/>
      <c r="BF234" s="1247" t="str">
        <f t="shared" ref="BF234" si="174">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315"/>
      <c r="B235" s="1301"/>
      <c r="C235" s="1302"/>
      <c r="D235" s="1302"/>
      <c r="E235" s="1302"/>
      <c r="F235" s="1303"/>
      <c r="G235" s="1268"/>
      <c r="H235" s="1268"/>
      <c r="I235" s="1268"/>
      <c r="J235" s="1443"/>
      <c r="K235" s="1268"/>
      <c r="L235" s="1274"/>
      <c r="M235" s="1445"/>
      <c r="N235" s="1399" t="str">
        <f>IF('別紙様式2-2（４・５月分）'!Q180="","",'別紙様式2-2（４・５月分）'!Q180)</f>
        <v/>
      </c>
      <c r="O235" s="1420"/>
      <c r="P235" s="1426"/>
      <c r="Q235" s="1427"/>
      <c r="R235" s="1428"/>
      <c r="S235" s="1430"/>
      <c r="T235" s="1432"/>
      <c r="U235" s="1434"/>
      <c r="V235" s="1436"/>
      <c r="W235" s="1438"/>
      <c r="X235" s="1376"/>
      <c r="Y235" s="1378"/>
      <c r="Z235" s="1376"/>
      <c r="AA235" s="1378"/>
      <c r="AB235" s="1376"/>
      <c r="AC235" s="1378"/>
      <c r="AD235" s="1376"/>
      <c r="AE235" s="1378"/>
      <c r="AF235" s="1378"/>
      <c r="AG235" s="1378"/>
      <c r="AH235" s="1380"/>
      <c r="AI235" s="1382"/>
      <c r="AJ235" s="1384"/>
      <c r="AK235" s="1386"/>
      <c r="AL235" s="1364"/>
      <c r="AM235" s="1388"/>
      <c r="AN235" s="1360"/>
      <c r="AO235" s="1390"/>
      <c r="AP235" s="1394"/>
      <c r="AQ235" s="1394"/>
      <c r="AR235" s="1396"/>
      <c r="AS235" s="1348"/>
      <c r="AT235" s="1334" t="str">
        <f t="shared" si="155"/>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1"/>
      <c r="C236" s="1302"/>
      <c r="D236" s="1302"/>
      <c r="E236" s="1302"/>
      <c r="F236" s="1303"/>
      <c r="G236" s="1268"/>
      <c r="H236" s="1268"/>
      <c r="I236" s="1268"/>
      <c r="J236" s="1443"/>
      <c r="K236" s="1268"/>
      <c r="L236" s="1274"/>
      <c r="M236" s="1445"/>
      <c r="N236" s="1400"/>
      <c r="O236" s="1421"/>
      <c r="P236" s="1401" t="s">
        <v>2179</v>
      </c>
      <c r="Q236" s="1403" t="str">
        <f>IFERROR(VLOOKUP('別紙様式2-2（４・５月分）'!AR179,【参考】数式用!$AT$5:$AV$22,3,FALSE),"")</f>
        <v/>
      </c>
      <c r="R236" s="1405" t="s">
        <v>2190</v>
      </c>
      <c r="S236" s="1447" t="str">
        <f>IFERROR(VLOOKUP(K234,【参考】数式用!$A$5:$AB$27,MATCH(Q236,【参考】数式用!$B$4:$AB$4,0)+1,0),"")</f>
        <v/>
      </c>
      <c r="T236" s="1409" t="s">
        <v>217</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5" t="s">
        <v>38</v>
      </c>
      <c r="AI236" s="1367" t="str">
        <f>IFERROR(ROUNDDOWN(ROUND(L234*V236,0)*M234,0)*AG236,"")</f>
        <v/>
      </c>
      <c r="AJ236" s="1369" t="str">
        <f>IFERROR(ROUNDDOWN(ROUND((L234*(V236-AX234)),0)*M234,0)*AG236,"")</f>
        <v/>
      </c>
      <c r="AK236" s="1371">
        <f>IFERROR(IF(OR(N234="",N235="",N237=""),0,ROUNDDOWN(ROUNDDOWN(ROUND(L234*VLOOKUP(K234,【参考】数式用!$A$5:$AB$27,MATCH("新加算Ⅳ",【参考】数式用!$B$4:$AB$4,0)+1,0),0)*M234,0)*AG236*0.5,0)),"")</f>
        <v>0</v>
      </c>
      <c r="AL236" s="1361" t="str">
        <f t="shared" ref="AL236" si="175">IF(U236&lt;&gt;"","新規に適用","")</f>
        <v/>
      </c>
      <c r="AM236" s="1373">
        <f>IFERROR(IF(OR(N237="ベア加算",N237=""),0, IF(OR(U234="新加算Ⅰ",U234="新加算Ⅱ",U234="新加算Ⅲ",U234="新加算Ⅳ"),0,ROUNDDOWN(ROUND(L234*VLOOKUP(K234,【参考】数式用!$A$5:$I$27,MATCH("ベア加算",【参考】数式用!$B$4:$I$4,0)+1,0),0)*M234,0)*AG236)),"")</f>
        <v>0</v>
      </c>
      <c r="AN236" s="1345" t="str">
        <f>IF(AND(U236&lt;&gt;"",AN234=""),"新規に適用",IF(AND(U236&lt;&gt;"",AN234&lt;&gt;""),"継続で適用",""))</f>
        <v/>
      </c>
      <c r="AO236" s="1345" t="str">
        <f>IF(AND(U236&lt;&gt;"",AO234=""),"新規に適用",IF(AND(U236&lt;&gt;"",AO234&lt;&gt;""),"継続で適用",""))</f>
        <v/>
      </c>
      <c r="AP236" s="1391"/>
      <c r="AQ236" s="1345" t="str">
        <f>IF(AND(U236&lt;&gt;"",AQ234=""),"新規に適用",IF(AND(U236&lt;&gt;"",AQ234&lt;&gt;""),"継続で適用",""))</f>
        <v/>
      </c>
      <c r="AR236" s="1349" t="str">
        <f t="shared" si="172"/>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316"/>
      <c r="B237" s="1439"/>
      <c r="C237" s="1440"/>
      <c r="D237" s="1440"/>
      <c r="E237" s="1440"/>
      <c r="F237" s="1441"/>
      <c r="G237" s="1269"/>
      <c r="H237" s="1269"/>
      <c r="I237" s="1269"/>
      <c r="J237" s="1444"/>
      <c r="K237" s="1269"/>
      <c r="L237" s="1275"/>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66"/>
      <c r="AI237" s="1368"/>
      <c r="AJ237" s="1370"/>
      <c r="AK237" s="1372"/>
      <c r="AL237" s="1362"/>
      <c r="AM237" s="1374"/>
      <c r="AN237" s="1346"/>
      <c r="AO237" s="1346"/>
      <c r="AP237" s="1392"/>
      <c r="AQ237" s="1346"/>
      <c r="AR237" s="1350"/>
      <c r="AS237" s="1346"/>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314">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43" t="str">
        <f>IF(基本情報入力シート!X110="","",基本情報入力シート!X110)</f>
        <v/>
      </c>
      <c r="K238" s="1268" t="str">
        <f>IF(基本情報入力シート!Y110="","",基本情報入力シート!Y110)</f>
        <v/>
      </c>
      <c r="L238" s="1274"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2173</v>
      </c>
      <c r="U238" s="1433"/>
      <c r="V238" s="1435" t="str">
        <f>IFERROR(VLOOKUP(K238,【参考】数式用!$A$5:$AB$27,MATCH(U238,【参考】数式用!$B$4:$AB$4,0)+1,0),"")</f>
        <v/>
      </c>
      <c r="W238" s="1437" t="s">
        <v>19</v>
      </c>
      <c r="X238" s="1375">
        <v>6</v>
      </c>
      <c r="Y238" s="1377" t="s">
        <v>10</v>
      </c>
      <c r="Z238" s="1375">
        <v>6</v>
      </c>
      <c r="AA238" s="1377" t="s">
        <v>45</v>
      </c>
      <c r="AB238" s="1375">
        <v>7</v>
      </c>
      <c r="AC238" s="1377" t="s">
        <v>10</v>
      </c>
      <c r="AD238" s="1375">
        <v>3</v>
      </c>
      <c r="AE238" s="1377" t="s">
        <v>13</v>
      </c>
      <c r="AF238" s="1377" t="s">
        <v>24</v>
      </c>
      <c r="AG238" s="1377">
        <f>IF(X238&gt;=1,(AB238*12+AD238)-(X238*12+Z238)+1,"")</f>
        <v>10</v>
      </c>
      <c r="AH238" s="1379" t="s">
        <v>38</v>
      </c>
      <c r="AI238" s="1381" t="str">
        <f>IFERROR(ROUNDDOWN(ROUND(L238*V238,0)*M238,0)*AG238,"")</f>
        <v/>
      </c>
      <c r="AJ238" s="1383" t="str">
        <f>IFERROR(ROUNDDOWN(ROUND((L238*(V238-AX238)),0)*M238,0)*AG238,"")</f>
        <v/>
      </c>
      <c r="AK238" s="1385">
        <f>IFERROR(IF(OR(N238="",N239="",N241=""),0,ROUNDDOWN(ROUNDDOWN(ROUND(L238*VLOOKUP(K238,【参考】数式用!$A$5:$AB$27,MATCH("新加算Ⅳ",【参考】数式用!$B$4:$AB$4,0)+1,0),0)*M238,0)*AG238*0.5,0)),"")</f>
        <v>0</v>
      </c>
      <c r="AL238" s="1363"/>
      <c r="AM238" s="138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3"/>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2098</v>
      </c>
      <c r="BA238" s="1247" t="s">
        <v>2099</v>
      </c>
      <c r="BB238" s="1247" t="s">
        <v>2100</v>
      </c>
      <c r="BC238" s="1247" t="s">
        <v>2101</v>
      </c>
      <c r="BD238" s="1247" t="str">
        <f>IF(AND(P238&lt;&gt;"新加算Ⅰ",P238&lt;&gt;"新加算Ⅱ",P238&lt;&gt;"新加算Ⅲ",P238&lt;&gt;"新加算Ⅳ"),P238,IF(Q240&lt;&gt;"",Q240,""))</f>
        <v/>
      </c>
      <c r="BE238" s="1247"/>
      <c r="BF238" s="1247" t="str">
        <f t="shared" ref="BF238" si="177">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315"/>
      <c r="B239" s="1301"/>
      <c r="C239" s="1302"/>
      <c r="D239" s="1302"/>
      <c r="E239" s="1302"/>
      <c r="F239" s="1303"/>
      <c r="G239" s="1268"/>
      <c r="H239" s="1268"/>
      <c r="I239" s="1268"/>
      <c r="J239" s="1443"/>
      <c r="K239" s="1268"/>
      <c r="L239" s="1274"/>
      <c r="M239" s="1445"/>
      <c r="N239" s="1399" t="str">
        <f>IF('別紙様式2-2（４・５月分）'!Q183="","",'別紙様式2-2（４・５月分）'!Q183)</f>
        <v/>
      </c>
      <c r="O239" s="1420"/>
      <c r="P239" s="1426"/>
      <c r="Q239" s="1427"/>
      <c r="R239" s="1428"/>
      <c r="S239" s="1430"/>
      <c r="T239" s="1432"/>
      <c r="U239" s="1434"/>
      <c r="V239" s="1436"/>
      <c r="W239" s="1438"/>
      <c r="X239" s="1376"/>
      <c r="Y239" s="1378"/>
      <c r="Z239" s="1376"/>
      <c r="AA239" s="1378"/>
      <c r="AB239" s="1376"/>
      <c r="AC239" s="1378"/>
      <c r="AD239" s="1376"/>
      <c r="AE239" s="1378"/>
      <c r="AF239" s="1378"/>
      <c r="AG239" s="1378"/>
      <c r="AH239" s="1380"/>
      <c r="AI239" s="1382"/>
      <c r="AJ239" s="1384"/>
      <c r="AK239" s="1386"/>
      <c r="AL239" s="1364"/>
      <c r="AM239" s="1388"/>
      <c r="AN239" s="1360"/>
      <c r="AO239" s="1390"/>
      <c r="AP239" s="1394"/>
      <c r="AQ239" s="1394"/>
      <c r="AR239" s="1396"/>
      <c r="AS239" s="1348"/>
      <c r="AT239" s="1334" t="str">
        <f t="shared" si="155"/>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1"/>
      <c r="C240" s="1302"/>
      <c r="D240" s="1302"/>
      <c r="E240" s="1302"/>
      <c r="F240" s="1303"/>
      <c r="G240" s="1268"/>
      <c r="H240" s="1268"/>
      <c r="I240" s="1268"/>
      <c r="J240" s="1443"/>
      <c r="K240" s="1268"/>
      <c r="L240" s="1274"/>
      <c r="M240" s="1445"/>
      <c r="N240" s="1400"/>
      <c r="O240" s="1421"/>
      <c r="P240" s="1401" t="s">
        <v>2179</v>
      </c>
      <c r="Q240" s="1403" t="str">
        <f>IFERROR(VLOOKUP('別紙様式2-2（４・５月分）'!AR182,【参考】数式用!$AT$5:$AV$22,3,FALSE),"")</f>
        <v/>
      </c>
      <c r="R240" s="1405" t="s">
        <v>2190</v>
      </c>
      <c r="S240" s="1447" t="str">
        <f>IFERROR(VLOOKUP(K238,【参考】数式用!$A$5:$AB$27,MATCH(Q240,【参考】数式用!$B$4:$AB$4,0)+1,0),"")</f>
        <v/>
      </c>
      <c r="T240" s="1409" t="s">
        <v>217</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5" t="s">
        <v>38</v>
      </c>
      <c r="AI240" s="1367" t="str">
        <f>IFERROR(ROUNDDOWN(ROUND(L238*V240,0)*M238,0)*AG240,"")</f>
        <v/>
      </c>
      <c r="AJ240" s="1369" t="str">
        <f>IFERROR(ROUNDDOWN(ROUND((L238*(V240-AX238)),0)*M238,0)*AG240,"")</f>
        <v/>
      </c>
      <c r="AK240" s="1371">
        <f>IFERROR(IF(OR(N238="",N239="",N241=""),0,ROUNDDOWN(ROUNDDOWN(ROUND(L238*VLOOKUP(K238,【参考】数式用!$A$5:$AB$27,MATCH("新加算Ⅳ",【参考】数式用!$B$4:$AB$4,0)+1,0),0)*M238,0)*AG240*0.5,0)),"")</f>
        <v>0</v>
      </c>
      <c r="AL240" s="1361" t="str">
        <f t="shared" ref="AL240" si="178">IF(U240&lt;&gt;"","新規に適用","")</f>
        <v/>
      </c>
      <c r="AM240" s="1373">
        <f>IFERROR(IF(OR(N241="ベア加算",N241=""),0, IF(OR(U238="新加算Ⅰ",U238="新加算Ⅱ",U238="新加算Ⅲ",U238="新加算Ⅳ"),0,ROUNDDOWN(ROUND(L238*VLOOKUP(K238,【参考】数式用!$A$5:$I$27,MATCH("ベア加算",【参考】数式用!$B$4:$I$4,0)+1,0),0)*M238,0)*AG240)),"")</f>
        <v>0</v>
      </c>
      <c r="AN240" s="1345" t="str">
        <f>IF(AND(U240&lt;&gt;"",AN238=""),"新規に適用",IF(AND(U240&lt;&gt;"",AN238&lt;&gt;""),"継続で適用",""))</f>
        <v/>
      </c>
      <c r="AO240" s="1345" t="str">
        <f>IF(AND(U240&lt;&gt;"",AO238=""),"新規に適用",IF(AND(U240&lt;&gt;"",AO238&lt;&gt;""),"継続で適用",""))</f>
        <v/>
      </c>
      <c r="AP240" s="1391"/>
      <c r="AQ240" s="1345" t="str">
        <f>IF(AND(U240&lt;&gt;"",AQ238=""),"新規に適用",IF(AND(U240&lt;&gt;"",AQ238&lt;&gt;""),"継続で適用",""))</f>
        <v/>
      </c>
      <c r="AR240" s="1349" t="str">
        <f t="shared" si="172"/>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316"/>
      <c r="B241" s="1439"/>
      <c r="C241" s="1440"/>
      <c r="D241" s="1440"/>
      <c r="E241" s="1440"/>
      <c r="F241" s="1441"/>
      <c r="G241" s="1269"/>
      <c r="H241" s="1269"/>
      <c r="I241" s="1269"/>
      <c r="J241" s="1444"/>
      <c r="K241" s="1269"/>
      <c r="L241" s="1275"/>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66"/>
      <c r="AI241" s="1368"/>
      <c r="AJ241" s="1370"/>
      <c r="AK241" s="1372"/>
      <c r="AL241" s="1362"/>
      <c r="AM241" s="1374"/>
      <c r="AN241" s="1346"/>
      <c r="AO241" s="1346"/>
      <c r="AP241" s="1392"/>
      <c r="AQ241" s="1346"/>
      <c r="AR241" s="1350"/>
      <c r="AS241" s="1346"/>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4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2173</v>
      </c>
      <c r="U242" s="1433"/>
      <c r="V242" s="1435" t="str">
        <f>IFERROR(VLOOKUP(K242,【参考】数式用!$A$5:$AB$27,MATCH(U242,【参考】数式用!$B$4:$AB$4,0)+1,0),"")</f>
        <v/>
      </c>
      <c r="W242" s="1437" t="s">
        <v>19</v>
      </c>
      <c r="X242" s="1375">
        <v>6</v>
      </c>
      <c r="Y242" s="1377" t="s">
        <v>10</v>
      </c>
      <c r="Z242" s="1375">
        <v>6</v>
      </c>
      <c r="AA242" s="1377" t="s">
        <v>45</v>
      </c>
      <c r="AB242" s="1375">
        <v>7</v>
      </c>
      <c r="AC242" s="1377" t="s">
        <v>10</v>
      </c>
      <c r="AD242" s="1375">
        <v>3</v>
      </c>
      <c r="AE242" s="1377" t="s">
        <v>13</v>
      </c>
      <c r="AF242" s="1377" t="s">
        <v>24</v>
      </c>
      <c r="AG242" s="1377">
        <f>IF(X242&gt;=1,(AB242*12+AD242)-(X242*12+Z242)+1,"")</f>
        <v>10</v>
      </c>
      <c r="AH242" s="1379" t="s">
        <v>38</v>
      </c>
      <c r="AI242" s="1381" t="str">
        <f>IFERROR(ROUNDDOWN(ROUND(L242*V242,0)*M242,0)*AG242,"")</f>
        <v/>
      </c>
      <c r="AJ242" s="1383" t="str">
        <f>IFERROR(ROUNDDOWN(ROUND((L242*(V242-AX242)),0)*M242,0)*AG242,"")</f>
        <v/>
      </c>
      <c r="AK242" s="1385">
        <f>IFERROR(IF(OR(N242="",N243="",N245=""),0,ROUNDDOWN(ROUNDDOWN(ROUND(L242*VLOOKUP(K242,【参考】数式用!$A$5:$AB$27,MATCH("新加算Ⅳ",【参考】数式用!$B$4:$AB$4,0)+1,0),0)*M242,0)*AG242*0.5,0)),"")</f>
        <v>0</v>
      </c>
      <c r="AL242" s="1363"/>
      <c r="AM242" s="138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3"/>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2098</v>
      </c>
      <c r="BA242" s="1247" t="s">
        <v>2099</v>
      </c>
      <c r="BB242" s="1247" t="s">
        <v>2100</v>
      </c>
      <c r="BC242" s="1247" t="s">
        <v>2101</v>
      </c>
      <c r="BD242" s="1247" t="str">
        <f>IF(AND(P242&lt;&gt;"新加算Ⅰ",P242&lt;&gt;"新加算Ⅱ",P242&lt;&gt;"新加算Ⅲ",P242&lt;&gt;"新加算Ⅳ"),P242,IF(Q244&lt;&gt;"",Q244,""))</f>
        <v/>
      </c>
      <c r="BE242" s="1247"/>
      <c r="BF242" s="1247" t="str">
        <f t="shared" ref="BF242" si="180">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315"/>
      <c r="B243" s="1301"/>
      <c r="C243" s="1302"/>
      <c r="D243" s="1302"/>
      <c r="E243" s="1302"/>
      <c r="F243" s="1303"/>
      <c r="G243" s="1268"/>
      <c r="H243" s="1268"/>
      <c r="I243" s="1268"/>
      <c r="J243" s="1443"/>
      <c r="K243" s="1268"/>
      <c r="L243" s="1274"/>
      <c r="M243" s="1277"/>
      <c r="N243" s="1399" t="str">
        <f>IF('別紙様式2-2（４・５月分）'!Q186="","",'別紙様式2-2（４・５月分）'!Q186)</f>
        <v/>
      </c>
      <c r="O243" s="1420"/>
      <c r="P243" s="1426"/>
      <c r="Q243" s="1427"/>
      <c r="R243" s="1428"/>
      <c r="S243" s="1430"/>
      <c r="T243" s="1432"/>
      <c r="U243" s="1434"/>
      <c r="V243" s="1436"/>
      <c r="W243" s="1438"/>
      <c r="X243" s="1376"/>
      <c r="Y243" s="1378"/>
      <c r="Z243" s="1376"/>
      <c r="AA243" s="1378"/>
      <c r="AB243" s="1376"/>
      <c r="AC243" s="1378"/>
      <c r="AD243" s="1376"/>
      <c r="AE243" s="1378"/>
      <c r="AF243" s="1378"/>
      <c r="AG243" s="1378"/>
      <c r="AH243" s="1380"/>
      <c r="AI243" s="1382"/>
      <c r="AJ243" s="1384"/>
      <c r="AK243" s="1386"/>
      <c r="AL243" s="1364"/>
      <c r="AM243" s="1388"/>
      <c r="AN243" s="1360"/>
      <c r="AO243" s="1390"/>
      <c r="AP243" s="1394"/>
      <c r="AQ243" s="1394"/>
      <c r="AR243" s="1396"/>
      <c r="AS243" s="1348"/>
      <c r="AT243" s="1334" t="str">
        <f t="shared" si="155"/>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1"/>
      <c r="C244" s="1302"/>
      <c r="D244" s="1302"/>
      <c r="E244" s="1302"/>
      <c r="F244" s="1303"/>
      <c r="G244" s="1268"/>
      <c r="H244" s="1268"/>
      <c r="I244" s="1268"/>
      <c r="J244" s="1443"/>
      <c r="K244" s="1268"/>
      <c r="L244" s="1274"/>
      <c r="M244" s="1277"/>
      <c r="N244" s="1400"/>
      <c r="O244" s="1421"/>
      <c r="P244" s="1401" t="s">
        <v>2179</v>
      </c>
      <c r="Q244" s="1403" t="str">
        <f>IFERROR(VLOOKUP('別紙様式2-2（４・５月分）'!AR185,【参考】数式用!$AT$5:$AV$22,3,FALSE),"")</f>
        <v/>
      </c>
      <c r="R244" s="1405" t="s">
        <v>2190</v>
      </c>
      <c r="S244" s="1407" t="str">
        <f>IFERROR(VLOOKUP(K242,【参考】数式用!$A$5:$AB$27,MATCH(Q244,【参考】数式用!$B$4:$AB$4,0)+1,0),"")</f>
        <v/>
      </c>
      <c r="T244" s="1409" t="s">
        <v>217</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5" t="s">
        <v>38</v>
      </c>
      <c r="AI244" s="1367" t="str">
        <f>IFERROR(ROUNDDOWN(ROUND(L242*V244,0)*M242,0)*AG244,"")</f>
        <v/>
      </c>
      <c r="AJ244" s="1369" t="str">
        <f>IFERROR(ROUNDDOWN(ROUND((L242*(V244-AX242)),0)*M242,0)*AG244,"")</f>
        <v/>
      </c>
      <c r="AK244" s="1371">
        <f>IFERROR(IF(OR(N242="",N243="",N245=""),0,ROUNDDOWN(ROUNDDOWN(ROUND(L242*VLOOKUP(K242,【参考】数式用!$A$5:$AB$27,MATCH("新加算Ⅳ",【参考】数式用!$B$4:$AB$4,0)+1,0),0)*M242,0)*AG244*0.5,0)),"")</f>
        <v>0</v>
      </c>
      <c r="AL244" s="1361" t="str">
        <f t="shared" ref="AL244" si="181">IF(U244&lt;&gt;"","新規に適用","")</f>
        <v/>
      </c>
      <c r="AM244" s="1373">
        <f>IFERROR(IF(OR(N245="ベア加算",N245=""),0, IF(OR(U242="新加算Ⅰ",U242="新加算Ⅱ",U242="新加算Ⅲ",U242="新加算Ⅳ"),0,ROUNDDOWN(ROUND(L242*VLOOKUP(K242,【参考】数式用!$A$5:$I$27,MATCH("ベア加算",【参考】数式用!$B$4:$I$4,0)+1,0),0)*M242,0)*AG244)),"")</f>
        <v>0</v>
      </c>
      <c r="AN244" s="1345" t="str">
        <f>IF(AND(U244&lt;&gt;"",AN242=""),"新規に適用",IF(AND(U244&lt;&gt;"",AN242&lt;&gt;""),"継続で適用",""))</f>
        <v/>
      </c>
      <c r="AO244" s="1345" t="str">
        <f>IF(AND(U244&lt;&gt;"",AO242=""),"新規に適用",IF(AND(U244&lt;&gt;"",AO242&lt;&gt;""),"継続で適用",""))</f>
        <v/>
      </c>
      <c r="AP244" s="1391"/>
      <c r="AQ244" s="1345" t="str">
        <f>IF(AND(U244&lt;&gt;"",AQ242=""),"新規に適用",IF(AND(U244&lt;&gt;"",AQ242&lt;&gt;""),"継続で適用",""))</f>
        <v/>
      </c>
      <c r="AR244" s="1349" t="str">
        <f t="shared" si="172"/>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316"/>
      <c r="B245" s="1439"/>
      <c r="C245" s="1440"/>
      <c r="D245" s="1440"/>
      <c r="E245" s="1440"/>
      <c r="F245" s="1441"/>
      <c r="G245" s="1269"/>
      <c r="H245" s="1269"/>
      <c r="I245" s="1269"/>
      <c r="J245" s="1444"/>
      <c r="K245" s="1269"/>
      <c r="L245" s="1275"/>
      <c r="M245" s="1278"/>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66"/>
      <c r="AI245" s="1368"/>
      <c r="AJ245" s="1370"/>
      <c r="AK245" s="1372"/>
      <c r="AL245" s="1362"/>
      <c r="AM245" s="1374"/>
      <c r="AN245" s="1346"/>
      <c r="AO245" s="1346"/>
      <c r="AP245" s="1392"/>
      <c r="AQ245" s="1346"/>
      <c r="AR245" s="1350"/>
      <c r="AS245" s="1346"/>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314">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43" t="str">
        <f>IF(基本情報入力シート!X112="","",基本情報入力シート!X112)</f>
        <v/>
      </c>
      <c r="K246" s="1268" t="str">
        <f>IF(基本情報入力シート!Y112="","",基本情報入力シート!Y112)</f>
        <v/>
      </c>
      <c r="L246" s="1274"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2173</v>
      </c>
      <c r="U246" s="1433"/>
      <c r="V246" s="1435" t="str">
        <f>IFERROR(VLOOKUP(K246,【参考】数式用!$A$5:$AB$27,MATCH(U246,【参考】数式用!$B$4:$AB$4,0)+1,0),"")</f>
        <v/>
      </c>
      <c r="W246" s="1437" t="s">
        <v>19</v>
      </c>
      <c r="X246" s="1375">
        <v>6</v>
      </c>
      <c r="Y246" s="1377" t="s">
        <v>10</v>
      </c>
      <c r="Z246" s="1375">
        <v>6</v>
      </c>
      <c r="AA246" s="1377" t="s">
        <v>45</v>
      </c>
      <c r="AB246" s="1375">
        <v>7</v>
      </c>
      <c r="AC246" s="1377" t="s">
        <v>10</v>
      </c>
      <c r="AD246" s="1375">
        <v>3</v>
      </c>
      <c r="AE246" s="1377" t="s">
        <v>13</v>
      </c>
      <c r="AF246" s="1377" t="s">
        <v>24</v>
      </c>
      <c r="AG246" s="1377">
        <f>IF(X246&gt;=1,(AB246*12+AD246)-(X246*12+Z246)+1,"")</f>
        <v>10</v>
      </c>
      <c r="AH246" s="1379" t="s">
        <v>38</v>
      </c>
      <c r="AI246" s="1381" t="str">
        <f>IFERROR(ROUNDDOWN(ROUND(L246*V246,0)*M246,0)*AG246,"")</f>
        <v/>
      </c>
      <c r="AJ246" s="1383" t="str">
        <f>IFERROR(ROUNDDOWN(ROUND((L246*(V246-AX246)),0)*M246,0)*AG246,"")</f>
        <v/>
      </c>
      <c r="AK246" s="1385">
        <f>IFERROR(IF(OR(N246="",N247="",N249=""),0,ROUNDDOWN(ROUNDDOWN(ROUND(L246*VLOOKUP(K246,【参考】数式用!$A$5:$AB$27,MATCH("新加算Ⅳ",【参考】数式用!$B$4:$AB$4,0)+1,0),0)*M246,0)*AG246*0.5,0)),"")</f>
        <v>0</v>
      </c>
      <c r="AL246" s="1363"/>
      <c r="AM246" s="138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3"/>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2098</v>
      </c>
      <c r="BA246" s="1247" t="s">
        <v>2099</v>
      </c>
      <c r="BB246" s="1247" t="s">
        <v>2100</v>
      </c>
      <c r="BC246" s="1247" t="s">
        <v>2101</v>
      </c>
      <c r="BD246" s="1247" t="str">
        <f>IF(AND(P246&lt;&gt;"新加算Ⅰ",P246&lt;&gt;"新加算Ⅱ",P246&lt;&gt;"新加算Ⅲ",P246&lt;&gt;"新加算Ⅳ"),P246,IF(Q248&lt;&gt;"",Q248,""))</f>
        <v/>
      </c>
      <c r="BE246" s="1247"/>
      <c r="BF246" s="1247" t="str">
        <f t="shared" ref="BF246" si="183">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315"/>
      <c r="B247" s="1301"/>
      <c r="C247" s="1302"/>
      <c r="D247" s="1302"/>
      <c r="E247" s="1302"/>
      <c r="F247" s="1303"/>
      <c r="G247" s="1268"/>
      <c r="H247" s="1268"/>
      <c r="I247" s="1268"/>
      <c r="J247" s="1443"/>
      <c r="K247" s="1268"/>
      <c r="L247" s="1274"/>
      <c r="M247" s="1445"/>
      <c r="N247" s="1399" t="str">
        <f>IF('別紙様式2-2（４・５月分）'!Q189="","",'別紙様式2-2（４・５月分）'!Q189)</f>
        <v/>
      </c>
      <c r="O247" s="1420"/>
      <c r="P247" s="1426"/>
      <c r="Q247" s="1427"/>
      <c r="R247" s="1428"/>
      <c r="S247" s="1430"/>
      <c r="T247" s="1432"/>
      <c r="U247" s="1434"/>
      <c r="V247" s="1436"/>
      <c r="W247" s="1438"/>
      <c r="X247" s="1376"/>
      <c r="Y247" s="1378"/>
      <c r="Z247" s="1376"/>
      <c r="AA247" s="1378"/>
      <c r="AB247" s="1376"/>
      <c r="AC247" s="1378"/>
      <c r="AD247" s="1376"/>
      <c r="AE247" s="1378"/>
      <c r="AF247" s="1378"/>
      <c r="AG247" s="1378"/>
      <c r="AH247" s="1380"/>
      <c r="AI247" s="1382"/>
      <c r="AJ247" s="1384"/>
      <c r="AK247" s="1386"/>
      <c r="AL247" s="1364"/>
      <c r="AM247" s="1388"/>
      <c r="AN247" s="1360"/>
      <c r="AO247" s="1390"/>
      <c r="AP247" s="1394"/>
      <c r="AQ247" s="1394"/>
      <c r="AR247" s="1396"/>
      <c r="AS247" s="1348"/>
      <c r="AT247" s="1334" t="str">
        <f t="shared" si="155"/>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1"/>
      <c r="C248" s="1302"/>
      <c r="D248" s="1302"/>
      <c r="E248" s="1302"/>
      <c r="F248" s="1303"/>
      <c r="G248" s="1268"/>
      <c r="H248" s="1268"/>
      <c r="I248" s="1268"/>
      <c r="J248" s="1443"/>
      <c r="K248" s="1268"/>
      <c r="L248" s="1274"/>
      <c r="M248" s="1445"/>
      <c r="N248" s="1400"/>
      <c r="O248" s="1421"/>
      <c r="P248" s="1401" t="s">
        <v>2179</v>
      </c>
      <c r="Q248" s="1403" t="str">
        <f>IFERROR(VLOOKUP('別紙様式2-2（４・５月分）'!AR188,【参考】数式用!$AT$5:$AV$22,3,FALSE),"")</f>
        <v/>
      </c>
      <c r="R248" s="1405" t="s">
        <v>2190</v>
      </c>
      <c r="S248" s="1447" t="str">
        <f>IFERROR(VLOOKUP(K246,【参考】数式用!$A$5:$AB$27,MATCH(Q248,【参考】数式用!$B$4:$AB$4,0)+1,0),"")</f>
        <v/>
      </c>
      <c r="T248" s="1409" t="s">
        <v>217</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5" t="s">
        <v>38</v>
      </c>
      <c r="AI248" s="1367" t="str">
        <f>IFERROR(ROUNDDOWN(ROUND(L246*V248,0)*M246,0)*AG248,"")</f>
        <v/>
      </c>
      <c r="AJ248" s="1369" t="str">
        <f>IFERROR(ROUNDDOWN(ROUND((L246*(V248-AX246)),0)*M246,0)*AG248,"")</f>
        <v/>
      </c>
      <c r="AK248" s="1371">
        <f>IFERROR(IF(OR(N246="",N247="",N249=""),0,ROUNDDOWN(ROUNDDOWN(ROUND(L246*VLOOKUP(K246,【参考】数式用!$A$5:$AB$27,MATCH("新加算Ⅳ",【参考】数式用!$B$4:$AB$4,0)+1,0),0)*M246,0)*AG248*0.5,0)),"")</f>
        <v>0</v>
      </c>
      <c r="AL248" s="1361" t="str">
        <f t="shared" ref="AL248" si="184">IF(U248&lt;&gt;"","新規に適用","")</f>
        <v/>
      </c>
      <c r="AM248" s="1373">
        <f>IFERROR(IF(OR(N249="ベア加算",N249=""),0, IF(OR(U246="新加算Ⅰ",U246="新加算Ⅱ",U246="新加算Ⅲ",U246="新加算Ⅳ"),0,ROUNDDOWN(ROUND(L246*VLOOKUP(K246,【参考】数式用!$A$5:$I$27,MATCH("ベア加算",【参考】数式用!$B$4:$I$4,0)+1,0),0)*M246,0)*AG248)),"")</f>
        <v>0</v>
      </c>
      <c r="AN248" s="1345" t="str">
        <f>IF(AND(U248&lt;&gt;"",AN246=""),"新規に適用",IF(AND(U248&lt;&gt;"",AN246&lt;&gt;""),"継続で適用",""))</f>
        <v/>
      </c>
      <c r="AO248" s="1345" t="str">
        <f>IF(AND(U248&lt;&gt;"",AO246=""),"新規に適用",IF(AND(U248&lt;&gt;"",AO246&lt;&gt;""),"継続で適用",""))</f>
        <v/>
      </c>
      <c r="AP248" s="1391"/>
      <c r="AQ248" s="1345" t="str">
        <f>IF(AND(U248&lt;&gt;"",AQ246=""),"新規に適用",IF(AND(U248&lt;&gt;"",AQ246&lt;&gt;""),"継続で適用",""))</f>
        <v/>
      </c>
      <c r="AR248" s="1349" t="str">
        <f t="shared" si="172"/>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316"/>
      <c r="B249" s="1439"/>
      <c r="C249" s="1440"/>
      <c r="D249" s="1440"/>
      <c r="E249" s="1440"/>
      <c r="F249" s="1441"/>
      <c r="G249" s="1269"/>
      <c r="H249" s="1269"/>
      <c r="I249" s="1269"/>
      <c r="J249" s="1444"/>
      <c r="K249" s="1269"/>
      <c r="L249" s="1275"/>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66"/>
      <c r="AI249" s="1368"/>
      <c r="AJ249" s="1370"/>
      <c r="AK249" s="1372"/>
      <c r="AL249" s="1362"/>
      <c r="AM249" s="1374"/>
      <c r="AN249" s="1346"/>
      <c r="AO249" s="1346"/>
      <c r="AP249" s="1392"/>
      <c r="AQ249" s="1346"/>
      <c r="AR249" s="1350"/>
      <c r="AS249" s="1346"/>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4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2173</v>
      </c>
      <c r="U250" s="1433"/>
      <c r="V250" s="1435" t="str">
        <f>IFERROR(VLOOKUP(K250,【参考】数式用!$A$5:$AB$27,MATCH(U250,【参考】数式用!$B$4:$AB$4,0)+1,0),"")</f>
        <v/>
      </c>
      <c r="W250" s="1437" t="s">
        <v>19</v>
      </c>
      <c r="X250" s="1375">
        <v>6</v>
      </c>
      <c r="Y250" s="1377" t="s">
        <v>10</v>
      </c>
      <c r="Z250" s="1375">
        <v>6</v>
      </c>
      <c r="AA250" s="1377" t="s">
        <v>45</v>
      </c>
      <c r="AB250" s="1375">
        <v>7</v>
      </c>
      <c r="AC250" s="1377" t="s">
        <v>10</v>
      </c>
      <c r="AD250" s="1375">
        <v>3</v>
      </c>
      <c r="AE250" s="1377" t="s">
        <v>13</v>
      </c>
      <c r="AF250" s="1377" t="s">
        <v>24</v>
      </c>
      <c r="AG250" s="1377">
        <f>IF(X250&gt;=1,(AB250*12+AD250)-(X250*12+Z250)+1,"")</f>
        <v>10</v>
      </c>
      <c r="AH250" s="1379" t="s">
        <v>38</v>
      </c>
      <c r="AI250" s="1381" t="str">
        <f>IFERROR(ROUNDDOWN(ROUND(L250*V250,0)*M250,0)*AG250,"")</f>
        <v/>
      </c>
      <c r="AJ250" s="1383" t="str">
        <f>IFERROR(ROUNDDOWN(ROUND((L250*(V250-AX250)),0)*M250,0)*AG250,"")</f>
        <v/>
      </c>
      <c r="AK250" s="1385">
        <f>IFERROR(IF(OR(N250="",N251="",N253=""),0,ROUNDDOWN(ROUNDDOWN(ROUND(L250*VLOOKUP(K250,【参考】数式用!$A$5:$AB$27,MATCH("新加算Ⅳ",【参考】数式用!$B$4:$AB$4,0)+1,0),0)*M250,0)*AG250*0.5,0)),"")</f>
        <v>0</v>
      </c>
      <c r="AL250" s="1363"/>
      <c r="AM250" s="138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3"/>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2098</v>
      </c>
      <c r="BA250" s="1247" t="s">
        <v>2099</v>
      </c>
      <c r="BB250" s="1247" t="s">
        <v>2100</v>
      </c>
      <c r="BC250" s="1247" t="s">
        <v>2101</v>
      </c>
      <c r="BD250" s="1247" t="str">
        <f>IF(AND(P250&lt;&gt;"新加算Ⅰ",P250&lt;&gt;"新加算Ⅱ",P250&lt;&gt;"新加算Ⅲ",P250&lt;&gt;"新加算Ⅳ"),P250,IF(Q252&lt;&gt;"",Q252,""))</f>
        <v/>
      </c>
      <c r="BE250" s="1247"/>
      <c r="BF250" s="1247" t="str">
        <f t="shared" ref="BF250" si="186">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315"/>
      <c r="B251" s="1301"/>
      <c r="C251" s="1302"/>
      <c r="D251" s="1302"/>
      <c r="E251" s="1302"/>
      <c r="F251" s="1303"/>
      <c r="G251" s="1268"/>
      <c r="H251" s="1268"/>
      <c r="I251" s="1268"/>
      <c r="J251" s="1443"/>
      <c r="K251" s="1268"/>
      <c r="L251" s="1274"/>
      <c r="M251" s="1277"/>
      <c r="N251" s="1399" t="str">
        <f>IF('別紙様式2-2（４・５月分）'!Q192="","",'別紙様式2-2（４・５月分）'!Q192)</f>
        <v/>
      </c>
      <c r="O251" s="1420"/>
      <c r="P251" s="1426"/>
      <c r="Q251" s="1427"/>
      <c r="R251" s="1428"/>
      <c r="S251" s="1430"/>
      <c r="T251" s="1432"/>
      <c r="U251" s="1434"/>
      <c r="V251" s="1436"/>
      <c r="W251" s="1438"/>
      <c r="X251" s="1376"/>
      <c r="Y251" s="1378"/>
      <c r="Z251" s="1376"/>
      <c r="AA251" s="1378"/>
      <c r="AB251" s="1376"/>
      <c r="AC251" s="1378"/>
      <c r="AD251" s="1376"/>
      <c r="AE251" s="1378"/>
      <c r="AF251" s="1378"/>
      <c r="AG251" s="1378"/>
      <c r="AH251" s="1380"/>
      <c r="AI251" s="1382"/>
      <c r="AJ251" s="1384"/>
      <c r="AK251" s="1386"/>
      <c r="AL251" s="1364"/>
      <c r="AM251" s="1388"/>
      <c r="AN251" s="1360"/>
      <c r="AO251" s="1390"/>
      <c r="AP251" s="1394"/>
      <c r="AQ251" s="1394"/>
      <c r="AR251" s="1396"/>
      <c r="AS251" s="1348"/>
      <c r="AT251" s="1334" t="str">
        <f t="shared" si="155"/>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1"/>
      <c r="C252" s="1302"/>
      <c r="D252" s="1302"/>
      <c r="E252" s="1302"/>
      <c r="F252" s="1303"/>
      <c r="G252" s="1268"/>
      <c r="H252" s="1268"/>
      <c r="I252" s="1268"/>
      <c r="J252" s="1443"/>
      <c r="K252" s="1268"/>
      <c r="L252" s="1274"/>
      <c r="M252" s="1277"/>
      <c r="N252" s="1400"/>
      <c r="O252" s="1421"/>
      <c r="P252" s="1401" t="s">
        <v>2179</v>
      </c>
      <c r="Q252" s="1403" t="str">
        <f>IFERROR(VLOOKUP('別紙様式2-2（４・５月分）'!AR191,【参考】数式用!$AT$5:$AV$22,3,FALSE),"")</f>
        <v/>
      </c>
      <c r="R252" s="1405" t="s">
        <v>2190</v>
      </c>
      <c r="S252" s="1407" t="str">
        <f>IFERROR(VLOOKUP(K250,【参考】数式用!$A$5:$AB$27,MATCH(Q252,【参考】数式用!$B$4:$AB$4,0)+1,0),"")</f>
        <v/>
      </c>
      <c r="T252" s="1409" t="s">
        <v>217</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5" t="s">
        <v>38</v>
      </c>
      <c r="AI252" s="1367" t="str">
        <f>IFERROR(ROUNDDOWN(ROUND(L250*V252,0)*M250,0)*AG252,"")</f>
        <v/>
      </c>
      <c r="AJ252" s="1369" t="str">
        <f>IFERROR(ROUNDDOWN(ROUND((L250*(V252-AX250)),0)*M250,0)*AG252,"")</f>
        <v/>
      </c>
      <c r="AK252" s="1371">
        <f>IFERROR(IF(OR(N250="",N251="",N253=""),0,ROUNDDOWN(ROUNDDOWN(ROUND(L250*VLOOKUP(K250,【参考】数式用!$A$5:$AB$27,MATCH("新加算Ⅳ",【参考】数式用!$B$4:$AB$4,0)+1,0),0)*M250,0)*AG252*0.5,0)),"")</f>
        <v>0</v>
      </c>
      <c r="AL252" s="1361" t="str">
        <f t="shared" ref="AL252" si="187">IF(U252&lt;&gt;"","新規に適用","")</f>
        <v/>
      </c>
      <c r="AM252" s="1373">
        <f>IFERROR(IF(OR(N253="ベア加算",N253=""),0, IF(OR(U250="新加算Ⅰ",U250="新加算Ⅱ",U250="新加算Ⅲ",U250="新加算Ⅳ"),0,ROUNDDOWN(ROUND(L250*VLOOKUP(K250,【参考】数式用!$A$5:$I$27,MATCH("ベア加算",【参考】数式用!$B$4:$I$4,0)+1,0),0)*M250,0)*AG252)),"")</f>
        <v>0</v>
      </c>
      <c r="AN252" s="1345" t="str">
        <f>IF(AND(U252&lt;&gt;"",AN250=""),"新規に適用",IF(AND(U252&lt;&gt;"",AN250&lt;&gt;""),"継続で適用",""))</f>
        <v/>
      </c>
      <c r="AO252" s="1345" t="str">
        <f>IF(AND(U252&lt;&gt;"",AO250=""),"新規に適用",IF(AND(U252&lt;&gt;"",AO250&lt;&gt;""),"継続で適用",""))</f>
        <v/>
      </c>
      <c r="AP252" s="1391"/>
      <c r="AQ252" s="1345" t="str">
        <f>IF(AND(U252&lt;&gt;"",AQ250=""),"新規に適用",IF(AND(U252&lt;&gt;"",AQ250&lt;&gt;""),"継続で適用",""))</f>
        <v/>
      </c>
      <c r="AR252" s="1349" t="str">
        <f t="shared" si="172"/>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316"/>
      <c r="B253" s="1439"/>
      <c r="C253" s="1440"/>
      <c r="D253" s="1440"/>
      <c r="E253" s="1440"/>
      <c r="F253" s="1441"/>
      <c r="G253" s="1269"/>
      <c r="H253" s="1269"/>
      <c r="I253" s="1269"/>
      <c r="J253" s="1444"/>
      <c r="K253" s="1269"/>
      <c r="L253" s="1275"/>
      <c r="M253" s="1278"/>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66"/>
      <c r="AI253" s="1368"/>
      <c r="AJ253" s="1370"/>
      <c r="AK253" s="1372"/>
      <c r="AL253" s="1362"/>
      <c r="AM253" s="1374"/>
      <c r="AN253" s="1346"/>
      <c r="AO253" s="1346"/>
      <c r="AP253" s="1392"/>
      <c r="AQ253" s="1346"/>
      <c r="AR253" s="1350"/>
      <c r="AS253" s="1346"/>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314">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43" t="str">
        <f>IF(基本情報入力シート!X114="","",基本情報入力シート!X114)</f>
        <v/>
      </c>
      <c r="K254" s="1268" t="str">
        <f>IF(基本情報入力シート!Y114="","",基本情報入力シート!Y114)</f>
        <v/>
      </c>
      <c r="L254" s="1274"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2173</v>
      </c>
      <c r="U254" s="1433"/>
      <c r="V254" s="1435" t="str">
        <f>IFERROR(VLOOKUP(K254,【参考】数式用!$A$5:$AB$27,MATCH(U254,【参考】数式用!$B$4:$AB$4,0)+1,0),"")</f>
        <v/>
      </c>
      <c r="W254" s="1437" t="s">
        <v>19</v>
      </c>
      <c r="X254" s="1375">
        <v>6</v>
      </c>
      <c r="Y254" s="1377" t="s">
        <v>10</v>
      </c>
      <c r="Z254" s="1375">
        <v>6</v>
      </c>
      <c r="AA254" s="1377" t="s">
        <v>45</v>
      </c>
      <c r="AB254" s="1375">
        <v>7</v>
      </c>
      <c r="AC254" s="1377" t="s">
        <v>10</v>
      </c>
      <c r="AD254" s="1375">
        <v>3</v>
      </c>
      <c r="AE254" s="1377" t="s">
        <v>13</v>
      </c>
      <c r="AF254" s="1377" t="s">
        <v>24</v>
      </c>
      <c r="AG254" s="1377">
        <f>IF(X254&gt;=1,(AB254*12+AD254)-(X254*12+Z254)+1,"")</f>
        <v>10</v>
      </c>
      <c r="AH254" s="1379" t="s">
        <v>38</v>
      </c>
      <c r="AI254" s="1381" t="str">
        <f>IFERROR(ROUNDDOWN(ROUND(L254*V254,0)*M254,0)*AG254,"")</f>
        <v/>
      </c>
      <c r="AJ254" s="1383" t="str">
        <f>IFERROR(ROUNDDOWN(ROUND((L254*(V254-AX254)),0)*M254,0)*AG254,"")</f>
        <v/>
      </c>
      <c r="AK254" s="1385">
        <f>IFERROR(IF(OR(N254="",N255="",N257=""),0,ROUNDDOWN(ROUNDDOWN(ROUND(L254*VLOOKUP(K254,【参考】数式用!$A$5:$AB$27,MATCH("新加算Ⅳ",【参考】数式用!$B$4:$AB$4,0)+1,0),0)*M254,0)*AG254*0.5,0)),"")</f>
        <v>0</v>
      </c>
      <c r="AL254" s="1363"/>
      <c r="AM254" s="138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3"/>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2098</v>
      </c>
      <c r="BA254" s="1247" t="s">
        <v>2099</v>
      </c>
      <c r="BB254" s="1247" t="s">
        <v>2100</v>
      </c>
      <c r="BC254" s="1247" t="s">
        <v>2101</v>
      </c>
      <c r="BD254" s="1247" t="str">
        <f>IF(AND(P254&lt;&gt;"新加算Ⅰ",P254&lt;&gt;"新加算Ⅱ",P254&lt;&gt;"新加算Ⅲ",P254&lt;&gt;"新加算Ⅳ"),P254,IF(Q256&lt;&gt;"",Q256,""))</f>
        <v/>
      </c>
      <c r="BE254" s="1247"/>
      <c r="BF254" s="1247" t="str">
        <f t="shared" ref="BF254" si="189">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315"/>
      <c r="B255" s="1301"/>
      <c r="C255" s="1302"/>
      <c r="D255" s="1302"/>
      <c r="E255" s="1302"/>
      <c r="F255" s="1303"/>
      <c r="G255" s="1268"/>
      <c r="H255" s="1268"/>
      <c r="I255" s="1268"/>
      <c r="J255" s="1443"/>
      <c r="K255" s="1268"/>
      <c r="L255" s="1274"/>
      <c r="M255" s="1445"/>
      <c r="N255" s="1399" t="str">
        <f>IF('別紙様式2-2（４・５月分）'!Q195="","",'別紙様式2-2（４・５月分）'!Q195)</f>
        <v/>
      </c>
      <c r="O255" s="1420"/>
      <c r="P255" s="1426"/>
      <c r="Q255" s="1427"/>
      <c r="R255" s="1428"/>
      <c r="S255" s="1430"/>
      <c r="T255" s="1432"/>
      <c r="U255" s="1434"/>
      <c r="V255" s="1436"/>
      <c r="W255" s="1438"/>
      <c r="X255" s="1376"/>
      <c r="Y255" s="1378"/>
      <c r="Z255" s="1376"/>
      <c r="AA255" s="1378"/>
      <c r="AB255" s="1376"/>
      <c r="AC255" s="1378"/>
      <c r="AD255" s="1376"/>
      <c r="AE255" s="1378"/>
      <c r="AF255" s="1378"/>
      <c r="AG255" s="1378"/>
      <c r="AH255" s="1380"/>
      <c r="AI255" s="1382"/>
      <c r="AJ255" s="1384"/>
      <c r="AK255" s="1386"/>
      <c r="AL255" s="1364"/>
      <c r="AM255" s="1388"/>
      <c r="AN255" s="1360"/>
      <c r="AO255" s="1390"/>
      <c r="AP255" s="1394"/>
      <c r="AQ255" s="1394"/>
      <c r="AR255" s="1396"/>
      <c r="AS255" s="1348"/>
      <c r="AT255" s="1334" t="str">
        <f t="shared" si="155"/>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1"/>
      <c r="C256" s="1302"/>
      <c r="D256" s="1302"/>
      <c r="E256" s="1302"/>
      <c r="F256" s="1303"/>
      <c r="G256" s="1268"/>
      <c r="H256" s="1268"/>
      <c r="I256" s="1268"/>
      <c r="J256" s="1443"/>
      <c r="K256" s="1268"/>
      <c r="L256" s="1274"/>
      <c r="M256" s="1445"/>
      <c r="N256" s="1400"/>
      <c r="O256" s="1421"/>
      <c r="P256" s="1401" t="s">
        <v>2179</v>
      </c>
      <c r="Q256" s="1403" t="str">
        <f>IFERROR(VLOOKUP('別紙様式2-2（４・５月分）'!AR194,【参考】数式用!$AT$5:$AV$22,3,FALSE),"")</f>
        <v/>
      </c>
      <c r="R256" s="1405" t="s">
        <v>2190</v>
      </c>
      <c r="S256" s="1447" t="str">
        <f>IFERROR(VLOOKUP(K254,【参考】数式用!$A$5:$AB$27,MATCH(Q256,【参考】数式用!$B$4:$AB$4,0)+1,0),"")</f>
        <v/>
      </c>
      <c r="T256" s="1409" t="s">
        <v>217</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5" t="s">
        <v>38</v>
      </c>
      <c r="AI256" s="1367" t="str">
        <f>IFERROR(ROUNDDOWN(ROUND(L254*V256,0)*M254,0)*AG256,"")</f>
        <v/>
      </c>
      <c r="AJ256" s="1369" t="str">
        <f>IFERROR(ROUNDDOWN(ROUND((L254*(V256-AX254)),0)*M254,0)*AG256,"")</f>
        <v/>
      </c>
      <c r="AK256" s="1371">
        <f>IFERROR(IF(OR(N254="",N255="",N257=""),0,ROUNDDOWN(ROUNDDOWN(ROUND(L254*VLOOKUP(K254,【参考】数式用!$A$5:$AB$27,MATCH("新加算Ⅳ",【参考】数式用!$B$4:$AB$4,0)+1,0),0)*M254,0)*AG256*0.5,0)),"")</f>
        <v>0</v>
      </c>
      <c r="AL256" s="1361" t="str">
        <f t="shared" ref="AL256" si="190">IF(U256&lt;&gt;"","新規に適用","")</f>
        <v/>
      </c>
      <c r="AM256" s="1373">
        <f>IFERROR(IF(OR(N257="ベア加算",N257=""),0, IF(OR(U254="新加算Ⅰ",U254="新加算Ⅱ",U254="新加算Ⅲ",U254="新加算Ⅳ"),0,ROUNDDOWN(ROUND(L254*VLOOKUP(K254,【参考】数式用!$A$5:$I$27,MATCH("ベア加算",【参考】数式用!$B$4:$I$4,0)+1,0),0)*M254,0)*AG256)),"")</f>
        <v>0</v>
      </c>
      <c r="AN256" s="1345" t="str">
        <f>IF(AND(U256&lt;&gt;"",AN254=""),"新規に適用",IF(AND(U256&lt;&gt;"",AN254&lt;&gt;""),"継続で適用",""))</f>
        <v/>
      </c>
      <c r="AO256" s="1345" t="str">
        <f>IF(AND(U256&lt;&gt;"",AO254=""),"新規に適用",IF(AND(U256&lt;&gt;"",AO254&lt;&gt;""),"継続で適用",""))</f>
        <v/>
      </c>
      <c r="AP256" s="1391"/>
      <c r="AQ256" s="1345" t="str">
        <f>IF(AND(U256&lt;&gt;"",AQ254=""),"新規に適用",IF(AND(U256&lt;&gt;"",AQ254&lt;&gt;""),"継続で適用",""))</f>
        <v/>
      </c>
      <c r="AR256" s="1349" t="str">
        <f t="shared" si="172"/>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316"/>
      <c r="B257" s="1439"/>
      <c r="C257" s="1440"/>
      <c r="D257" s="1440"/>
      <c r="E257" s="1440"/>
      <c r="F257" s="1441"/>
      <c r="G257" s="1269"/>
      <c r="H257" s="1269"/>
      <c r="I257" s="1269"/>
      <c r="J257" s="1444"/>
      <c r="K257" s="1269"/>
      <c r="L257" s="1275"/>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66"/>
      <c r="AI257" s="1368"/>
      <c r="AJ257" s="1370"/>
      <c r="AK257" s="1372"/>
      <c r="AL257" s="1362"/>
      <c r="AM257" s="1374"/>
      <c r="AN257" s="1346"/>
      <c r="AO257" s="1346"/>
      <c r="AP257" s="1392"/>
      <c r="AQ257" s="1346"/>
      <c r="AR257" s="1350"/>
      <c r="AS257" s="1346"/>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4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2173</v>
      </c>
      <c r="U258" s="1433"/>
      <c r="V258" s="1435" t="str">
        <f>IFERROR(VLOOKUP(K258,【参考】数式用!$A$5:$AB$27,MATCH(U258,【参考】数式用!$B$4:$AB$4,0)+1,0),"")</f>
        <v/>
      </c>
      <c r="W258" s="1437" t="s">
        <v>19</v>
      </c>
      <c r="X258" s="1375">
        <v>6</v>
      </c>
      <c r="Y258" s="1377" t="s">
        <v>10</v>
      </c>
      <c r="Z258" s="1375">
        <v>6</v>
      </c>
      <c r="AA258" s="1377" t="s">
        <v>45</v>
      </c>
      <c r="AB258" s="1375">
        <v>7</v>
      </c>
      <c r="AC258" s="1377" t="s">
        <v>10</v>
      </c>
      <c r="AD258" s="1375">
        <v>3</v>
      </c>
      <c r="AE258" s="1377" t="s">
        <v>13</v>
      </c>
      <c r="AF258" s="1377" t="s">
        <v>24</v>
      </c>
      <c r="AG258" s="1377">
        <f>IF(X258&gt;=1,(AB258*12+AD258)-(X258*12+Z258)+1,"")</f>
        <v>10</v>
      </c>
      <c r="AH258" s="1379" t="s">
        <v>38</v>
      </c>
      <c r="AI258" s="1381" t="str">
        <f>IFERROR(ROUNDDOWN(ROUND(L258*V258,0)*M258,0)*AG258,"")</f>
        <v/>
      </c>
      <c r="AJ258" s="1383" t="str">
        <f>IFERROR(ROUNDDOWN(ROUND((L258*(V258-AX258)),0)*M258,0)*AG258,"")</f>
        <v/>
      </c>
      <c r="AK258" s="1385">
        <f>IFERROR(IF(OR(N258="",N259="",N261=""),0,ROUNDDOWN(ROUNDDOWN(ROUND(L258*VLOOKUP(K258,【参考】数式用!$A$5:$AB$27,MATCH("新加算Ⅳ",【参考】数式用!$B$4:$AB$4,0)+1,0),0)*M258,0)*AG258*0.5,0)),"")</f>
        <v>0</v>
      </c>
      <c r="AL258" s="1363"/>
      <c r="AM258" s="138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3"/>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2098</v>
      </c>
      <c r="BA258" s="1247" t="s">
        <v>2099</v>
      </c>
      <c r="BB258" s="1247" t="s">
        <v>2100</v>
      </c>
      <c r="BC258" s="1247" t="s">
        <v>2101</v>
      </c>
      <c r="BD258" s="1247" t="str">
        <f>IF(AND(P258&lt;&gt;"新加算Ⅰ",P258&lt;&gt;"新加算Ⅱ",P258&lt;&gt;"新加算Ⅲ",P258&lt;&gt;"新加算Ⅳ"),P258,IF(Q260&lt;&gt;"",Q260,""))</f>
        <v/>
      </c>
      <c r="BE258" s="1247"/>
      <c r="BF258" s="1247" t="str">
        <f t="shared" ref="BF258" si="192">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315"/>
      <c r="B259" s="1301"/>
      <c r="C259" s="1302"/>
      <c r="D259" s="1302"/>
      <c r="E259" s="1302"/>
      <c r="F259" s="1303"/>
      <c r="G259" s="1268"/>
      <c r="H259" s="1268"/>
      <c r="I259" s="1268"/>
      <c r="J259" s="1443"/>
      <c r="K259" s="1268"/>
      <c r="L259" s="1274"/>
      <c r="M259" s="1277"/>
      <c r="N259" s="1399" t="str">
        <f>IF('別紙様式2-2（４・５月分）'!Q198="","",'別紙様式2-2（４・５月分）'!Q198)</f>
        <v/>
      </c>
      <c r="O259" s="1420"/>
      <c r="P259" s="1426"/>
      <c r="Q259" s="1427"/>
      <c r="R259" s="1428"/>
      <c r="S259" s="1430"/>
      <c r="T259" s="1432"/>
      <c r="U259" s="1434"/>
      <c r="V259" s="1436"/>
      <c r="W259" s="1438"/>
      <c r="X259" s="1376"/>
      <c r="Y259" s="1378"/>
      <c r="Z259" s="1376"/>
      <c r="AA259" s="1378"/>
      <c r="AB259" s="1376"/>
      <c r="AC259" s="1378"/>
      <c r="AD259" s="1376"/>
      <c r="AE259" s="1378"/>
      <c r="AF259" s="1378"/>
      <c r="AG259" s="1378"/>
      <c r="AH259" s="1380"/>
      <c r="AI259" s="1382"/>
      <c r="AJ259" s="1384"/>
      <c r="AK259" s="1386"/>
      <c r="AL259" s="1364"/>
      <c r="AM259" s="1388"/>
      <c r="AN259" s="1360"/>
      <c r="AO259" s="1390"/>
      <c r="AP259" s="1394"/>
      <c r="AQ259" s="1394"/>
      <c r="AR259" s="1396"/>
      <c r="AS259" s="1348"/>
      <c r="AT259" s="1334" t="str">
        <f t="shared" si="155"/>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1"/>
      <c r="C260" s="1302"/>
      <c r="D260" s="1302"/>
      <c r="E260" s="1302"/>
      <c r="F260" s="1303"/>
      <c r="G260" s="1268"/>
      <c r="H260" s="1268"/>
      <c r="I260" s="1268"/>
      <c r="J260" s="1443"/>
      <c r="K260" s="1268"/>
      <c r="L260" s="1274"/>
      <c r="M260" s="1277"/>
      <c r="N260" s="1400"/>
      <c r="O260" s="1421"/>
      <c r="P260" s="1401" t="s">
        <v>2179</v>
      </c>
      <c r="Q260" s="1403" t="str">
        <f>IFERROR(VLOOKUP('別紙様式2-2（４・５月分）'!AR197,【参考】数式用!$AT$5:$AV$22,3,FALSE),"")</f>
        <v/>
      </c>
      <c r="R260" s="1405" t="s">
        <v>2190</v>
      </c>
      <c r="S260" s="1407" t="str">
        <f>IFERROR(VLOOKUP(K258,【参考】数式用!$A$5:$AB$27,MATCH(Q260,【参考】数式用!$B$4:$AB$4,0)+1,0),"")</f>
        <v/>
      </c>
      <c r="T260" s="1409" t="s">
        <v>217</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5" t="s">
        <v>38</v>
      </c>
      <c r="AI260" s="1367" t="str">
        <f>IFERROR(ROUNDDOWN(ROUND(L258*V260,0)*M258,0)*AG260,"")</f>
        <v/>
      </c>
      <c r="AJ260" s="1369" t="str">
        <f>IFERROR(ROUNDDOWN(ROUND((L258*(V260-AX258)),0)*M258,0)*AG260,"")</f>
        <v/>
      </c>
      <c r="AK260" s="1371">
        <f>IFERROR(IF(OR(N258="",N259="",N261=""),0,ROUNDDOWN(ROUNDDOWN(ROUND(L258*VLOOKUP(K258,【参考】数式用!$A$5:$AB$27,MATCH("新加算Ⅳ",【参考】数式用!$B$4:$AB$4,0)+1,0),0)*M258,0)*AG260*0.5,0)),"")</f>
        <v>0</v>
      </c>
      <c r="AL260" s="1361" t="str">
        <f t="shared" ref="AL260" si="193">IF(U260&lt;&gt;"","新規に適用","")</f>
        <v/>
      </c>
      <c r="AM260" s="1373">
        <f>IFERROR(IF(OR(N261="ベア加算",N261=""),0, IF(OR(U258="新加算Ⅰ",U258="新加算Ⅱ",U258="新加算Ⅲ",U258="新加算Ⅳ"),0,ROUNDDOWN(ROUND(L258*VLOOKUP(K258,【参考】数式用!$A$5:$I$27,MATCH("ベア加算",【参考】数式用!$B$4:$I$4,0)+1,0),0)*M258,0)*AG260)),"")</f>
        <v>0</v>
      </c>
      <c r="AN260" s="1345" t="str">
        <f>IF(AND(U260&lt;&gt;"",AN258=""),"新規に適用",IF(AND(U260&lt;&gt;"",AN258&lt;&gt;""),"継続で適用",""))</f>
        <v/>
      </c>
      <c r="AO260" s="1345" t="str">
        <f>IF(AND(U260&lt;&gt;"",AO258=""),"新規に適用",IF(AND(U260&lt;&gt;"",AO258&lt;&gt;""),"継続で適用",""))</f>
        <v/>
      </c>
      <c r="AP260" s="1391"/>
      <c r="AQ260" s="1345" t="str">
        <f>IF(AND(U260&lt;&gt;"",AQ258=""),"新規に適用",IF(AND(U260&lt;&gt;"",AQ258&lt;&gt;""),"継続で適用",""))</f>
        <v/>
      </c>
      <c r="AR260" s="1349" t="str">
        <f t="shared" si="172"/>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316"/>
      <c r="B261" s="1439"/>
      <c r="C261" s="1440"/>
      <c r="D261" s="1440"/>
      <c r="E261" s="1440"/>
      <c r="F261" s="1441"/>
      <c r="G261" s="1269"/>
      <c r="H261" s="1269"/>
      <c r="I261" s="1269"/>
      <c r="J261" s="1444"/>
      <c r="K261" s="1269"/>
      <c r="L261" s="1275"/>
      <c r="M261" s="1278"/>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66"/>
      <c r="AI261" s="1368"/>
      <c r="AJ261" s="1370"/>
      <c r="AK261" s="1372"/>
      <c r="AL261" s="1362"/>
      <c r="AM261" s="1374"/>
      <c r="AN261" s="1346"/>
      <c r="AO261" s="1346"/>
      <c r="AP261" s="1392"/>
      <c r="AQ261" s="1346"/>
      <c r="AR261" s="1350"/>
      <c r="AS261" s="1346"/>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314">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43" t="str">
        <f>IF(基本情報入力シート!X116="","",基本情報入力シート!X116)</f>
        <v/>
      </c>
      <c r="K262" s="1268" t="str">
        <f>IF(基本情報入力シート!Y116="","",基本情報入力シート!Y116)</f>
        <v/>
      </c>
      <c r="L262" s="1274"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2173</v>
      </c>
      <c r="U262" s="1433"/>
      <c r="V262" s="1435" t="str">
        <f>IFERROR(VLOOKUP(K262,【参考】数式用!$A$5:$AB$27,MATCH(U262,【参考】数式用!$B$4:$AB$4,0)+1,0),"")</f>
        <v/>
      </c>
      <c r="W262" s="1437" t="s">
        <v>19</v>
      </c>
      <c r="X262" s="1375">
        <v>6</v>
      </c>
      <c r="Y262" s="1377" t="s">
        <v>10</v>
      </c>
      <c r="Z262" s="1375">
        <v>6</v>
      </c>
      <c r="AA262" s="1377" t="s">
        <v>45</v>
      </c>
      <c r="AB262" s="1375">
        <v>7</v>
      </c>
      <c r="AC262" s="1377" t="s">
        <v>10</v>
      </c>
      <c r="AD262" s="1375">
        <v>3</v>
      </c>
      <c r="AE262" s="1377" t="s">
        <v>13</v>
      </c>
      <c r="AF262" s="1377" t="s">
        <v>24</v>
      </c>
      <c r="AG262" s="1377">
        <f>IF(X262&gt;=1,(AB262*12+AD262)-(X262*12+Z262)+1,"")</f>
        <v>10</v>
      </c>
      <c r="AH262" s="1379" t="s">
        <v>38</v>
      </c>
      <c r="AI262" s="1381" t="str">
        <f>IFERROR(ROUNDDOWN(ROUND(L262*V262,0)*M262,0)*AG262,"")</f>
        <v/>
      </c>
      <c r="AJ262" s="1383" t="str">
        <f>IFERROR(ROUNDDOWN(ROUND((L262*(V262-AX262)),0)*M262,0)*AG262,"")</f>
        <v/>
      </c>
      <c r="AK262" s="1385">
        <f>IFERROR(IF(OR(N262="",N263="",N265=""),0,ROUNDDOWN(ROUNDDOWN(ROUND(L262*VLOOKUP(K262,【参考】数式用!$A$5:$AB$27,MATCH("新加算Ⅳ",【参考】数式用!$B$4:$AB$4,0)+1,0),0)*M262,0)*AG262*0.5,0)),"")</f>
        <v>0</v>
      </c>
      <c r="AL262" s="1363"/>
      <c r="AM262" s="138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3"/>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2098</v>
      </c>
      <c r="BA262" s="1247" t="s">
        <v>2099</v>
      </c>
      <c r="BB262" s="1247" t="s">
        <v>2100</v>
      </c>
      <c r="BC262" s="1247" t="s">
        <v>2101</v>
      </c>
      <c r="BD262" s="1247" t="str">
        <f>IF(AND(P262&lt;&gt;"新加算Ⅰ",P262&lt;&gt;"新加算Ⅱ",P262&lt;&gt;"新加算Ⅲ",P262&lt;&gt;"新加算Ⅳ"),P262,IF(Q264&lt;&gt;"",Q264,""))</f>
        <v/>
      </c>
      <c r="BE262" s="1247"/>
      <c r="BF262" s="1247" t="str">
        <f t="shared" ref="BF262" si="195">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315"/>
      <c r="B263" s="1301"/>
      <c r="C263" s="1302"/>
      <c r="D263" s="1302"/>
      <c r="E263" s="1302"/>
      <c r="F263" s="1303"/>
      <c r="G263" s="1268"/>
      <c r="H263" s="1268"/>
      <c r="I263" s="1268"/>
      <c r="J263" s="1443"/>
      <c r="K263" s="1268"/>
      <c r="L263" s="1274"/>
      <c r="M263" s="1445"/>
      <c r="N263" s="1399" t="str">
        <f>IF('別紙様式2-2（４・５月分）'!Q201="","",'別紙様式2-2（４・５月分）'!Q201)</f>
        <v/>
      </c>
      <c r="O263" s="1420"/>
      <c r="P263" s="1426"/>
      <c r="Q263" s="1427"/>
      <c r="R263" s="1428"/>
      <c r="S263" s="1430"/>
      <c r="T263" s="1432"/>
      <c r="U263" s="1434"/>
      <c r="V263" s="1436"/>
      <c r="W263" s="1438"/>
      <c r="X263" s="1376"/>
      <c r="Y263" s="1378"/>
      <c r="Z263" s="1376"/>
      <c r="AA263" s="1378"/>
      <c r="AB263" s="1376"/>
      <c r="AC263" s="1378"/>
      <c r="AD263" s="1376"/>
      <c r="AE263" s="1378"/>
      <c r="AF263" s="1378"/>
      <c r="AG263" s="1378"/>
      <c r="AH263" s="1380"/>
      <c r="AI263" s="1382"/>
      <c r="AJ263" s="1384"/>
      <c r="AK263" s="1386"/>
      <c r="AL263" s="1364"/>
      <c r="AM263" s="1388"/>
      <c r="AN263" s="1360"/>
      <c r="AO263" s="1390"/>
      <c r="AP263" s="1394"/>
      <c r="AQ263" s="1394"/>
      <c r="AR263" s="1396"/>
      <c r="AS263" s="1348"/>
      <c r="AT263" s="1334" t="str">
        <f t="shared" si="155"/>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1"/>
      <c r="C264" s="1302"/>
      <c r="D264" s="1302"/>
      <c r="E264" s="1302"/>
      <c r="F264" s="1303"/>
      <c r="G264" s="1268"/>
      <c r="H264" s="1268"/>
      <c r="I264" s="1268"/>
      <c r="J264" s="1443"/>
      <c r="K264" s="1268"/>
      <c r="L264" s="1274"/>
      <c r="M264" s="1445"/>
      <c r="N264" s="1400"/>
      <c r="O264" s="1421"/>
      <c r="P264" s="1401" t="s">
        <v>2179</v>
      </c>
      <c r="Q264" s="1403" t="str">
        <f>IFERROR(VLOOKUP('別紙様式2-2（４・５月分）'!AR200,【参考】数式用!$AT$5:$AV$22,3,FALSE),"")</f>
        <v/>
      </c>
      <c r="R264" s="1405" t="s">
        <v>2190</v>
      </c>
      <c r="S264" s="1447" t="str">
        <f>IFERROR(VLOOKUP(K262,【参考】数式用!$A$5:$AB$27,MATCH(Q264,【参考】数式用!$B$4:$AB$4,0)+1,0),"")</f>
        <v/>
      </c>
      <c r="T264" s="1409" t="s">
        <v>217</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5" t="s">
        <v>38</v>
      </c>
      <c r="AI264" s="1367" t="str">
        <f>IFERROR(ROUNDDOWN(ROUND(L262*V264,0)*M262,0)*AG264,"")</f>
        <v/>
      </c>
      <c r="AJ264" s="1369" t="str">
        <f>IFERROR(ROUNDDOWN(ROUND((L262*(V264-AX262)),0)*M262,0)*AG264,"")</f>
        <v/>
      </c>
      <c r="AK264" s="1371">
        <f>IFERROR(IF(OR(N262="",N263="",N265=""),0,ROUNDDOWN(ROUNDDOWN(ROUND(L262*VLOOKUP(K262,【参考】数式用!$A$5:$AB$27,MATCH("新加算Ⅳ",【参考】数式用!$B$4:$AB$4,0)+1,0),0)*M262,0)*AG264*0.5,0)),"")</f>
        <v>0</v>
      </c>
      <c r="AL264" s="1361" t="str">
        <f t="shared" ref="AL264" si="196">IF(U264&lt;&gt;"","新規に適用","")</f>
        <v/>
      </c>
      <c r="AM264" s="1373">
        <f>IFERROR(IF(OR(N265="ベア加算",N265=""),0, IF(OR(U262="新加算Ⅰ",U262="新加算Ⅱ",U262="新加算Ⅲ",U262="新加算Ⅳ"),0,ROUNDDOWN(ROUND(L262*VLOOKUP(K262,【参考】数式用!$A$5:$I$27,MATCH("ベア加算",【参考】数式用!$B$4:$I$4,0)+1,0),0)*M262,0)*AG264)),"")</f>
        <v>0</v>
      </c>
      <c r="AN264" s="1345" t="str">
        <f>IF(AND(U264&lt;&gt;"",AN262=""),"新規に適用",IF(AND(U264&lt;&gt;"",AN262&lt;&gt;""),"継続で適用",""))</f>
        <v/>
      </c>
      <c r="AO264" s="1345" t="str">
        <f>IF(AND(U264&lt;&gt;"",AO262=""),"新規に適用",IF(AND(U264&lt;&gt;"",AO262&lt;&gt;""),"継続で適用",""))</f>
        <v/>
      </c>
      <c r="AP264" s="1391"/>
      <c r="AQ264" s="1345" t="str">
        <f>IF(AND(U264&lt;&gt;"",AQ262=""),"新規に適用",IF(AND(U264&lt;&gt;"",AQ262&lt;&gt;""),"継続で適用",""))</f>
        <v/>
      </c>
      <c r="AR264" s="1349" t="str">
        <f t="shared" si="172"/>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316"/>
      <c r="B265" s="1439"/>
      <c r="C265" s="1440"/>
      <c r="D265" s="1440"/>
      <c r="E265" s="1440"/>
      <c r="F265" s="1441"/>
      <c r="G265" s="1269"/>
      <c r="H265" s="1269"/>
      <c r="I265" s="1269"/>
      <c r="J265" s="1444"/>
      <c r="K265" s="1269"/>
      <c r="L265" s="1275"/>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66"/>
      <c r="AI265" s="1368"/>
      <c r="AJ265" s="1370"/>
      <c r="AK265" s="1372"/>
      <c r="AL265" s="1362"/>
      <c r="AM265" s="1374"/>
      <c r="AN265" s="1346"/>
      <c r="AO265" s="1346"/>
      <c r="AP265" s="1392"/>
      <c r="AQ265" s="1346"/>
      <c r="AR265" s="1350"/>
      <c r="AS265" s="1346"/>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4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2173</v>
      </c>
      <c r="U266" s="1433"/>
      <c r="V266" s="1435" t="str">
        <f>IFERROR(VLOOKUP(K266,【参考】数式用!$A$5:$AB$27,MATCH(U266,【参考】数式用!$B$4:$AB$4,0)+1,0),"")</f>
        <v/>
      </c>
      <c r="W266" s="1437" t="s">
        <v>19</v>
      </c>
      <c r="X266" s="1375">
        <v>6</v>
      </c>
      <c r="Y266" s="1377" t="s">
        <v>10</v>
      </c>
      <c r="Z266" s="1375">
        <v>6</v>
      </c>
      <c r="AA266" s="1377" t="s">
        <v>45</v>
      </c>
      <c r="AB266" s="1375">
        <v>7</v>
      </c>
      <c r="AC266" s="1377" t="s">
        <v>10</v>
      </c>
      <c r="AD266" s="1375">
        <v>3</v>
      </c>
      <c r="AE266" s="1377" t="s">
        <v>13</v>
      </c>
      <c r="AF266" s="1377" t="s">
        <v>24</v>
      </c>
      <c r="AG266" s="1377">
        <f>IF(X266&gt;=1,(AB266*12+AD266)-(X266*12+Z266)+1,"")</f>
        <v>10</v>
      </c>
      <c r="AH266" s="1379" t="s">
        <v>38</v>
      </c>
      <c r="AI266" s="1381" t="str">
        <f>IFERROR(ROUNDDOWN(ROUND(L266*V266,0)*M266,0)*AG266,"")</f>
        <v/>
      </c>
      <c r="AJ266" s="1383" t="str">
        <f>IFERROR(ROUNDDOWN(ROUND((L266*(V266-AX266)),0)*M266,0)*AG266,"")</f>
        <v/>
      </c>
      <c r="AK266" s="1385">
        <f>IFERROR(IF(OR(N266="",N267="",N269=""),0,ROUNDDOWN(ROUNDDOWN(ROUND(L266*VLOOKUP(K266,【参考】数式用!$A$5:$AB$27,MATCH("新加算Ⅳ",【参考】数式用!$B$4:$AB$4,0)+1,0),0)*M266,0)*AG266*0.5,0)),"")</f>
        <v>0</v>
      </c>
      <c r="AL266" s="1363"/>
      <c r="AM266" s="138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3"/>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2098</v>
      </c>
      <c r="BA266" s="1247" t="s">
        <v>2099</v>
      </c>
      <c r="BB266" s="1247" t="s">
        <v>2100</v>
      </c>
      <c r="BC266" s="1247" t="s">
        <v>2101</v>
      </c>
      <c r="BD266" s="1247" t="str">
        <f>IF(AND(P266&lt;&gt;"新加算Ⅰ",P266&lt;&gt;"新加算Ⅱ",P266&lt;&gt;"新加算Ⅲ",P266&lt;&gt;"新加算Ⅳ"),P266,IF(Q268&lt;&gt;"",Q268,""))</f>
        <v/>
      </c>
      <c r="BE266" s="1247"/>
      <c r="BF266" s="1247" t="str">
        <f t="shared" ref="BF266" si="198">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315"/>
      <c r="B267" s="1301"/>
      <c r="C267" s="1302"/>
      <c r="D267" s="1302"/>
      <c r="E267" s="1302"/>
      <c r="F267" s="1303"/>
      <c r="G267" s="1268"/>
      <c r="H267" s="1268"/>
      <c r="I267" s="1268"/>
      <c r="J267" s="1443"/>
      <c r="K267" s="1268"/>
      <c r="L267" s="1274"/>
      <c r="M267" s="1277"/>
      <c r="N267" s="1399" t="str">
        <f>IF('別紙様式2-2（４・５月分）'!Q204="","",'別紙様式2-2（４・５月分）'!Q204)</f>
        <v/>
      </c>
      <c r="O267" s="1420"/>
      <c r="P267" s="1426"/>
      <c r="Q267" s="1427"/>
      <c r="R267" s="1428"/>
      <c r="S267" s="1430"/>
      <c r="T267" s="1432"/>
      <c r="U267" s="1434"/>
      <c r="V267" s="1436"/>
      <c r="W267" s="1438"/>
      <c r="X267" s="1376"/>
      <c r="Y267" s="1378"/>
      <c r="Z267" s="1376"/>
      <c r="AA267" s="1378"/>
      <c r="AB267" s="1376"/>
      <c r="AC267" s="1378"/>
      <c r="AD267" s="1376"/>
      <c r="AE267" s="1378"/>
      <c r="AF267" s="1378"/>
      <c r="AG267" s="1378"/>
      <c r="AH267" s="1380"/>
      <c r="AI267" s="1382"/>
      <c r="AJ267" s="1384"/>
      <c r="AK267" s="1386"/>
      <c r="AL267" s="1364"/>
      <c r="AM267" s="1388"/>
      <c r="AN267" s="1360"/>
      <c r="AO267" s="1390"/>
      <c r="AP267" s="1394"/>
      <c r="AQ267" s="1394"/>
      <c r="AR267" s="1396"/>
      <c r="AS267" s="1348"/>
      <c r="AT267" s="1334" t="str">
        <f t="shared" si="155"/>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1"/>
      <c r="C268" s="1302"/>
      <c r="D268" s="1302"/>
      <c r="E268" s="1302"/>
      <c r="F268" s="1303"/>
      <c r="G268" s="1268"/>
      <c r="H268" s="1268"/>
      <c r="I268" s="1268"/>
      <c r="J268" s="1443"/>
      <c r="K268" s="1268"/>
      <c r="L268" s="1274"/>
      <c r="M268" s="1277"/>
      <c r="N268" s="1400"/>
      <c r="O268" s="1421"/>
      <c r="P268" s="1401" t="s">
        <v>2179</v>
      </c>
      <c r="Q268" s="1403" t="str">
        <f>IFERROR(VLOOKUP('別紙様式2-2（４・５月分）'!AR203,【参考】数式用!$AT$5:$AV$22,3,FALSE),"")</f>
        <v/>
      </c>
      <c r="R268" s="1405" t="s">
        <v>2190</v>
      </c>
      <c r="S268" s="1407" t="str">
        <f>IFERROR(VLOOKUP(K266,【参考】数式用!$A$5:$AB$27,MATCH(Q268,【参考】数式用!$B$4:$AB$4,0)+1,0),"")</f>
        <v/>
      </c>
      <c r="T268" s="1409" t="s">
        <v>217</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5" t="s">
        <v>38</v>
      </c>
      <c r="AI268" s="1367" t="str">
        <f>IFERROR(ROUNDDOWN(ROUND(L266*V268,0)*M266,0)*AG268,"")</f>
        <v/>
      </c>
      <c r="AJ268" s="1369" t="str">
        <f>IFERROR(ROUNDDOWN(ROUND((L266*(V268-AX266)),0)*M266,0)*AG268,"")</f>
        <v/>
      </c>
      <c r="AK268" s="1371">
        <f>IFERROR(IF(OR(N266="",N267="",N269=""),0,ROUNDDOWN(ROUNDDOWN(ROUND(L266*VLOOKUP(K266,【参考】数式用!$A$5:$AB$27,MATCH("新加算Ⅳ",【参考】数式用!$B$4:$AB$4,0)+1,0),0)*M266,0)*AG268*0.5,0)),"")</f>
        <v>0</v>
      </c>
      <c r="AL268" s="1361" t="str">
        <f t="shared" ref="AL268" si="199">IF(U268&lt;&gt;"","新規に適用","")</f>
        <v/>
      </c>
      <c r="AM268" s="1373">
        <f>IFERROR(IF(OR(N269="ベア加算",N269=""),0, IF(OR(U266="新加算Ⅰ",U266="新加算Ⅱ",U266="新加算Ⅲ",U266="新加算Ⅳ"),0,ROUNDDOWN(ROUND(L266*VLOOKUP(K266,【参考】数式用!$A$5:$I$27,MATCH("ベア加算",【参考】数式用!$B$4:$I$4,0)+1,0),0)*M266,0)*AG268)),"")</f>
        <v>0</v>
      </c>
      <c r="AN268" s="1345" t="str">
        <f>IF(AND(U268&lt;&gt;"",AN266=""),"新規に適用",IF(AND(U268&lt;&gt;"",AN266&lt;&gt;""),"継続で適用",""))</f>
        <v/>
      </c>
      <c r="AO268" s="1345" t="str">
        <f>IF(AND(U268&lt;&gt;"",AO266=""),"新規に適用",IF(AND(U268&lt;&gt;"",AO266&lt;&gt;""),"継続で適用",""))</f>
        <v/>
      </c>
      <c r="AP268" s="1391"/>
      <c r="AQ268" s="1345" t="str">
        <f>IF(AND(U268&lt;&gt;"",AQ266=""),"新規に適用",IF(AND(U268&lt;&gt;"",AQ266&lt;&gt;""),"継続で適用",""))</f>
        <v/>
      </c>
      <c r="AR268" s="1349" t="str">
        <f t="shared" si="172"/>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316"/>
      <c r="B269" s="1439"/>
      <c r="C269" s="1440"/>
      <c r="D269" s="1440"/>
      <c r="E269" s="1440"/>
      <c r="F269" s="1441"/>
      <c r="G269" s="1269"/>
      <c r="H269" s="1269"/>
      <c r="I269" s="1269"/>
      <c r="J269" s="1444"/>
      <c r="K269" s="1269"/>
      <c r="L269" s="1275"/>
      <c r="M269" s="1278"/>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66"/>
      <c r="AI269" s="1368"/>
      <c r="AJ269" s="1370"/>
      <c r="AK269" s="1372"/>
      <c r="AL269" s="1362"/>
      <c r="AM269" s="1374"/>
      <c r="AN269" s="1346"/>
      <c r="AO269" s="1346"/>
      <c r="AP269" s="1392"/>
      <c r="AQ269" s="1346"/>
      <c r="AR269" s="1350"/>
      <c r="AS269" s="1346"/>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314">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43" t="str">
        <f>IF(基本情報入力シート!X118="","",基本情報入力シート!X118)</f>
        <v/>
      </c>
      <c r="K270" s="1268" t="str">
        <f>IF(基本情報入力シート!Y118="","",基本情報入力シート!Y118)</f>
        <v/>
      </c>
      <c r="L270" s="1274"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2173</v>
      </c>
      <c r="U270" s="1433"/>
      <c r="V270" s="1435" t="str">
        <f>IFERROR(VLOOKUP(K270,【参考】数式用!$A$5:$AB$27,MATCH(U270,【参考】数式用!$B$4:$AB$4,0)+1,0),"")</f>
        <v/>
      </c>
      <c r="W270" s="1437" t="s">
        <v>19</v>
      </c>
      <c r="X270" s="1375">
        <v>6</v>
      </c>
      <c r="Y270" s="1377" t="s">
        <v>10</v>
      </c>
      <c r="Z270" s="1375">
        <v>6</v>
      </c>
      <c r="AA270" s="1377" t="s">
        <v>45</v>
      </c>
      <c r="AB270" s="1375">
        <v>7</v>
      </c>
      <c r="AC270" s="1377" t="s">
        <v>10</v>
      </c>
      <c r="AD270" s="1375">
        <v>3</v>
      </c>
      <c r="AE270" s="1377" t="s">
        <v>13</v>
      </c>
      <c r="AF270" s="1377" t="s">
        <v>24</v>
      </c>
      <c r="AG270" s="1377">
        <f>IF(X270&gt;=1,(AB270*12+AD270)-(X270*12+Z270)+1,"")</f>
        <v>10</v>
      </c>
      <c r="AH270" s="1379" t="s">
        <v>38</v>
      </c>
      <c r="AI270" s="1381" t="str">
        <f>IFERROR(ROUNDDOWN(ROUND(L270*V270,0)*M270,0)*AG270,"")</f>
        <v/>
      </c>
      <c r="AJ270" s="1383" t="str">
        <f>IFERROR(ROUNDDOWN(ROUND((L270*(V270-AX270)),0)*M270,0)*AG270,"")</f>
        <v/>
      </c>
      <c r="AK270" s="1385">
        <f>IFERROR(IF(OR(N270="",N271="",N273=""),0,ROUNDDOWN(ROUNDDOWN(ROUND(L270*VLOOKUP(K270,【参考】数式用!$A$5:$AB$27,MATCH("新加算Ⅳ",【参考】数式用!$B$4:$AB$4,0)+1,0),0)*M270,0)*AG270*0.5,0)),"")</f>
        <v>0</v>
      </c>
      <c r="AL270" s="1363"/>
      <c r="AM270" s="138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3"/>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2098</v>
      </c>
      <c r="BA270" s="1247" t="s">
        <v>2099</v>
      </c>
      <c r="BB270" s="1247" t="s">
        <v>2100</v>
      </c>
      <c r="BC270" s="1247" t="s">
        <v>2101</v>
      </c>
      <c r="BD270" s="1247" t="str">
        <f>IF(AND(P270&lt;&gt;"新加算Ⅰ",P270&lt;&gt;"新加算Ⅱ",P270&lt;&gt;"新加算Ⅲ",P270&lt;&gt;"新加算Ⅳ"),P270,IF(Q272&lt;&gt;"",Q272,""))</f>
        <v/>
      </c>
      <c r="BE270" s="1247"/>
      <c r="BF270" s="1247" t="str">
        <f t="shared" ref="BF270" si="201">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315"/>
      <c r="B271" s="1301"/>
      <c r="C271" s="1302"/>
      <c r="D271" s="1302"/>
      <c r="E271" s="1302"/>
      <c r="F271" s="1303"/>
      <c r="G271" s="1268"/>
      <c r="H271" s="1268"/>
      <c r="I271" s="1268"/>
      <c r="J271" s="1443"/>
      <c r="K271" s="1268"/>
      <c r="L271" s="1274"/>
      <c r="M271" s="1445"/>
      <c r="N271" s="1399" t="str">
        <f>IF('別紙様式2-2（４・５月分）'!Q207="","",'別紙様式2-2（４・５月分）'!Q207)</f>
        <v/>
      </c>
      <c r="O271" s="1420"/>
      <c r="P271" s="1426"/>
      <c r="Q271" s="1427"/>
      <c r="R271" s="1428"/>
      <c r="S271" s="1430"/>
      <c r="T271" s="1432"/>
      <c r="U271" s="1434"/>
      <c r="V271" s="1436"/>
      <c r="W271" s="1438"/>
      <c r="X271" s="1376"/>
      <c r="Y271" s="1378"/>
      <c r="Z271" s="1376"/>
      <c r="AA271" s="1378"/>
      <c r="AB271" s="1376"/>
      <c r="AC271" s="1378"/>
      <c r="AD271" s="1376"/>
      <c r="AE271" s="1378"/>
      <c r="AF271" s="1378"/>
      <c r="AG271" s="1378"/>
      <c r="AH271" s="1380"/>
      <c r="AI271" s="1382"/>
      <c r="AJ271" s="1384"/>
      <c r="AK271" s="1386"/>
      <c r="AL271" s="1364"/>
      <c r="AM271" s="1388"/>
      <c r="AN271" s="1360"/>
      <c r="AO271" s="1390"/>
      <c r="AP271" s="1394"/>
      <c r="AQ271" s="1394"/>
      <c r="AR271" s="1396"/>
      <c r="AS271" s="1348"/>
      <c r="AT271" s="1334" t="str">
        <f t="shared" si="155"/>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1"/>
      <c r="C272" s="1302"/>
      <c r="D272" s="1302"/>
      <c r="E272" s="1302"/>
      <c r="F272" s="1303"/>
      <c r="G272" s="1268"/>
      <c r="H272" s="1268"/>
      <c r="I272" s="1268"/>
      <c r="J272" s="1443"/>
      <c r="K272" s="1268"/>
      <c r="L272" s="1274"/>
      <c r="M272" s="1445"/>
      <c r="N272" s="1400"/>
      <c r="O272" s="1421"/>
      <c r="P272" s="1401" t="s">
        <v>2179</v>
      </c>
      <c r="Q272" s="1403" t="str">
        <f>IFERROR(VLOOKUP('別紙様式2-2（４・５月分）'!AR206,【参考】数式用!$AT$5:$AV$22,3,FALSE),"")</f>
        <v/>
      </c>
      <c r="R272" s="1405" t="s">
        <v>2190</v>
      </c>
      <c r="S272" s="1447" t="str">
        <f>IFERROR(VLOOKUP(K270,【参考】数式用!$A$5:$AB$27,MATCH(Q272,【参考】数式用!$B$4:$AB$4,0)+1,0),"")</f>
        <v/>
      </c>
      <c r="T272" s="1409" t="s">
        <v>217</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5" t="s">
        <v>38</v>
      </c>
      <c r="AI272" s="1367" t="str">
        <f>IFERROR(ROUNDDOWN(ROUND(L270*V272,0)*M270,0)*AG272,"")</f>
        <v/>
      </c>
      <c r="AJ272" s="1369" t="str">
        <f>IFERROR(ROUNDDOWN(ROUND((L270*(V272-AX270)),0)*M270,0)*AG272,"")</f>
        <v/>
      </c>
      <c r="AK272" s="1371">
        <f>IFERROR(IF(OR(N270="",N271="",N273=""),0,ROUNDDOWN(ROUNDDOWN(ROUND(L270*VLOOKUP(K270,【参考】数式用!$A$5:$AB$27,MATCH("新加算Ⅳ",【参考】数式用!$B$4:$AB$4,0)+1,0),0)*M270,0)*AG272*0.5,0)),"")</f>
        <v>0</v>
      </c>
      <c r="AL272" s="1361" t="str">
        <f t="shared" ref="AL272" si="202">IF(U272&lt;&gt;"","新規に適用","")</f>
        <v/>
      </c>
      <c r="AM272" s="1373">
        <f>IFERROR(IF(OR(N273="ベア加算",N273=""),0, IF(OR(U270="新加算Ⅰ",U270="新加算Ⅱ",U270="新加算Ⅲ",U270="新加算Ⅳ"),0,ROUNDDOWN(ROUND(L270*VLOOKUP(K270,【参考】数式用!$A$5:$I$27,MATCH("ベア加算",【参考】数式用!$B$4:$I$4,0)+1,0),0)*M270,0)*AG272)),"")</f>
        <v>0</v>
      </c>
      <c r="AN272" s="1345" t="str">
        <f>IF(AND(U272&lt;&gt;"",AN270=""),"新規に適用",IF(AND(U272&lt;&gt;"",AN270&lt;&gt;""),"継続で適用",""))</f>
        <v/>
      </c>
      <c r="AO272" s="1345" t="str">
        <f>IF(AND(U272&lt;&gt;"",AO270=""),"新規に適用",IF(AND(U272&lt;&gt;"",AO270&lt;&gt;""),"継続で適用",""))</f>
        <v/>
      </c>
      <c r="AP272" s="1391"/>
      <c r="AQ272" s="1345" t="str">
        <f>IF(AND(U272&lt;&gt;"",AQ270=""),"新規に適用",IF(AND(U272&lt;&gt;"",AQ270&lt;&gt;""),"継続で適用",""))</f>
        <v/>
      </c>
      <c r="AR272" s="1349" t="str">
        <f t="shared" si="172"/>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316"/>
      <c r="B273" s="1439"/>
      <c r="C273" s="1440"/>
      <c r="D273" s="1440"/>
      <c r="E273" s="1440"/>
      <c r="F273" s="1441"/>
      <c r="G273" s="1269"/>
      <c r="H273" s="1269"/>
      <c r="I273" s="1269"/>
      <c r="J273" s="1444"/>
      <c r="K273" s="1269"/>
      <c r="L273" s="1275"/>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66"/>
      <c r="AI273" s="1368"/>
      <c r="AJ273" s="1370"/>
      <c r="AK273" s="1372"/>
      <c r="AL273" s="1362"/>
      <c r="AM273" s="1374"/>
      <c r="AN273" s="1346"/>
      <c r="AO273" s="1346"/>
      <c r="AP273" s="1392"/>
      <c r="AQ273" s="1346"/>
      <c r="AR273" s="1350"/>
      <c r="AS273" s="1346"/>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4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2173</v>
      </c>
      <c r="U274" s="1433"/>
      <c r="V274" s="1435" t="str">
        <f>IFERROR(VLOOKUP(K274,【参考】数式用!$A$5:$AB$27,MATCH(U274,【参考】数式用!$B$4:$AB$4,0)+1,0),"")</f>
        <v/>
      </c>
      <c r="W274" s="1437" t="s">
        <v>19</v>
      </c>
      <c r="X274" s="1375">
        <v>6</v>
      </c>
      <c r="Y274" s="1377" t="s">
        <v>10</v>
      </c>
      <c r="Z274" s="1375">
        <v>6</v>
      </c>
      <c r="AA274" s="1377" t="s">
        <v>45</v>
      </c>
      <c r="AB274" s="1375">
        <v>7</v>
      </c>
      <c r="AC274" s="1377" t="s">
        <v>10</v>
      </c>
      <c r="AD274" s="1375">
        <v>3</v>
      </c>
      <c r="AE274" s="1377" t="s">
        <v>13</v>
      </c>
      <c r="AF274" s="1377" t="s">
        <v>24</v>
      </c>
      <c r="AG274" s="1377">
        <f>IF(X274&gt;=1,(AB274*12+AD274)-(X274*12+Z274)+1,"")</f>
        <v>10</v>
      </c>
      <c r="AH274" s="1379" t="s">
        <v>38</v>
      </c>
      <c r="AI274" s="1381" t="str">
        <f>IFERROR(ROUNDDOWN(ROUND(L274*V274,0)*M274,0)*AG274,"")</f>
        <v/>
      </c>
      <c r="AJ274" s="1383" t="str">
        <f>IFERROR(ROUNDDOWN(ROUND((L274*(V274-AX274)),0)*M274,0)*AG274,"")</f>
        <v/>
      </c>
      <c r="AK274" s="1385">
        <f>IFERROR(IF(OR(N274="",N275="",N277=""),0,ROUNDDOWN(ROUNDDOWN(ROUND(L274*VLOOKUP(K274,【参考】数式用!$A$5:$AB$27,MATCH("新加算Ⅳ",【参考】数式用!$B$4:$AB$4,0)+1,0),0)*M274,0)*AG274*0.5,0)),"")</f>
        <v>0</v>
      </c>
      <c r="AL274" s="1363"/>
      <c r="AM274" s="138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04">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2098</v>
      </c>
      <c r="BA274" s="1247" t="s">
        <v>2099</v>
      </c>
      <c r="BB274" s="1247" t="s">
        <v>2100</v>
      </c>
      <c r="BC274" s="1247" t="s">
        <v>2101</v>
      </c>
      <c r="BD274" s="1247" t="str">
        <f>IF(AND(P274&lt;&gt;"新加算Ⅰ",P274&lt;&gt;"新加算Ⅱ",P274&lt;&gt;"新加算Ⅲ",P274&lt;&gt;"新加算Ⅳ"),P274,IF(Q276&lt;&gt;"",Q276,""))</f>
        <v/>
      </c>
      <c r="BE274" s="1247"/>
      <c r="BF274" s="1247" t="str">
        <f t="shared" ref="BF274" si="205">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315"/>
      <c r="B275" s="1301"/>
      <c r="C275" s="1302"/>
      <c r="D275" s="1302"/>
      <c r="E275" s="1302"/>
      <c r="F275" s="1303"/>
      <c r="G275" s="1268"/>
      <c r="H275" s="1268"/>
      <c r="I275" s="1268"/>
      <c r="J275" s="1443"/>
      <c r="K275" s="1268"/>
      <c r="L275" s="1274"/>
      <c r="M275" s="1277"/>
      <c r="N275" s="1399" t="str">
        <f>IF('別紙様式2-2（４・５月分）'!Q210="","",'別紙様式2-2（４・５月分）'!Q210)</f>
        <v/>
      </c>
      <c r="O275" s="1420"/>
      <c r="P275" s="1426"/>
      <c r="Q275" s="1427"/>
      <c r="R275" s="1428"/>
      <c r="S275" s="1430"/>
      <c r="T275" s="1432"/>
      <c r="U275" s="1434"/>
      <c r="V275" s="1436"/>
      <c r="W275" s="1438"/>
      <c r="X275" s="1376"/>
      <c r="Y275" s="1378"/>
      <c r="Z275" s="1376"/>
      <c r="AA275" s="1378"/>
      <c r="AB275" s="1376"/>
      <c r="AC275" s="1378"/>
      <c r="AD275" s="1376"/>
      <c r="AE275" s="1378"/>
      <c r="AF275" s="1378"/>
      <c r="AG275" s="1378"/>
      <c r="AH275" s="1380"/>
      <c r="AI275" s="1382"/>
      <c r="AJ275" s="1384"/>
      <c r="AK275" s="1386"/>
      <c r="AL275" s="1364"/>
      <c r="AM275" s="1388"/>
      <c r="AN275" s="1360"/>
      <c r="AO275" s="1390"/>
      <c r="AP275" s="1394"/>
      <c r="AQ275" s="1394"/>
      <c r="AR275" s="1396"/>
      <c r="AS275" s="1348"/>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1"/>
      <c r="C276" s="1302"/>
      <c r="D276" s="1302"/>
      <c r="E276" s="1302"/>
      <c r="F276" s="1303"/>
      <c r="G276" s="1268"/>
      <c r="H276" s="1268"/>
      <c r="I276" s="1268"/>
      <c r="J276" s="1443"/>
      <c r="K276" s="1268"/>
      <c r="L276" s="1274"/>
      <c r="M276" s="1277"/>
      <c r="N276" s="1400"/>
      <c r="O276" s="1421"/>
      <c r="P276" s="1401" t="s">
        <v>2179</v>
      </c>
      <c r="Q276" s="1403" t="str">
        <f>IFERROR(VLOOKUP('別紙様式2-2（４・５月分）'!AR209,【参考】数式用!$AT$5:$AV$22,3,FALSE),"")</f>
        <v/>
      </c>
      <c r="R276" s="1405" t="s">
        <v>2190</v>
      </c>
      <c r="S276" s="1407" t="str">
        <f>IFERROR(VLOOKUP(K274,【参考】数式用!$A$5:$AB$27,MATCH(Q276,【参考】数式用!$B$4:$AB$4,0)+1,0),"")</f>
        <v/>
      </c>
      <c r="T276" s="1409" t="s">
        <v>217</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5" t="s">
        <v>38</v>
      </c>
      <c r="AI276" s="1367" t="str">
        <f>IFERROR(ROUNDDOWN(ROUND(L274*V276,0)*M274,0)*AG276,"")</f>
        <v/>
      </c>
      <c r="AJ276" s="1369" t="str">
        <f>IFERROR(ROUNDDOWN(ROUND((L274*(V276-AX274)),0)*M274,0)*AG276,"")</f>
        <v/>
      </c>
      <c r="AK276" s="1371">
        <f>IFERROR(IF(OR(N274="",N275="",N277=""),0,ROUNDDOWN(ROUNDDOWN(ROUND(L274*VLOOKUP(K274,【参考】数式用!$A$5:$AB$27,MATCH("新加算Ⅳ",【参考】数式用!$B$4:$AB$4,0)+1,0),0)*M274,0)*AG276*0.5,0)),"")</f>
        <v>0</v>
      </c>
      <c r="AL276" s="1361" t="str">
        <f t="shared" ref="AL276" si="207">IF(U276&lt;&gt;"","新規に適用","")</f>
        <v/>
      </c>
      <c r="AM276" s="1373">
        <f>IFERROR(IF(OR(N277="ベア加算",N277=""),0, IF(OR(U274="新加算Ⅰ",U274="新加算Ⅱ",U274="新加算Ⅲ",U274="新加算Ⅳ"),0,ROUNDDOWN(ROUND(L274*VLOOKUP(K274,【参考】数式用!$A$5:$I$27,MATCH("ベア加算",【参考】数式用!$B$4:$I$4,0)+1,0),0)*M274,0)*AG276)),"")</f>
        <v>0</v>
      </c>
      <c r="AN276" s="1345" t="str">
        <f>IF(AND(U276&lt;&gt;"",AN274=""),"新規に適用",IF(AND(U276&lt;&gt;"",AN274&lt;&gt;""),"継続で適用",""))</f>
        <v/>
      </c>
      <c r="AO276" s="1345" t="str">
        <f>IF(AND(U276&lt;&gt;"",AO274=""),"新規に適用",IF(AND(U276&lt;&gt;"",AO274&lt;&gt;""),"継続で適用",""))</f>
        <v/>
      </c>
      <c r="AP276" s="1391"/>
      <c r="AQ276" s="1345" t="str">
        <f>IF(AND(U276&lt;&gt;"",AQ274=""),"新規に適用",IF(AND(U276&lt;&gt;"",AQ274&lt;&gt;""),"継続で適用",""))</f>
        <v/>
      </c>
      <c r="AR276" s="1349" t="str">
        <f t="shared" si="172"/>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316"/>
      <c r="B277" s="1439"/>
      <c r="C277" s="1440"/>
      <c r="D277" s="1440"/>
      <c r="E277" s="1440"/>
      <c r="F277" s="1441"/>
      <c r="G277" s="1269"/>
      <c r="H277" s="1269"/>
      <c r="I277" s="1269"/>
      <c r="J277" s="1444"/>
      <c r="K277" s="1269"/>
      <c r="L277" s="1275"/>
      <c r="M277" s="1278"/>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66"/>
      <c r="AI277" s="1368"/>
      <c r="AJ277" s="1370"/>
      <c r="AK277" s="1372"/>
      <c r="AL277" s="1362"/>
      <c r="AM277" s="1374"/>
      <c r="AN277" s="1346"/>
      <c r="AO277" s="1346"/>
      <c r="AP277" s="1392"/>
      <c r="AQ277" s="1346"/>
      <c r="AR277" s="1350"/>
      <c r="AS277" s="1346"/>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314">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43" t="str">
        <f>IF(基本情報入力シート!X120="","",基本情報入力シート!X120)</f>
        <v/>
      </c>
      <c r="K278" s="1268" t="str">
        <f>IF(基本情報入力シート!Y120="","",基本情報入力シート!Y120)</f>
        <v/>
      </c>
      <c r="L278" s="1274"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2173</v>
      </c>
      <c r="U278" s="1433"/>
      <c r="V278" s="1435" t="str">
        <f>IFERROR(VLOOKUP(K278,【参考】数式用!$A$5:$AB$27,MATCH(U278,【参考】数式用!$B$4:$AB$4,0)+1,0),"")</f>
        <v/>
      </c>
      <c r="W278" s="1437" t="s">
        <v>19</v>
      </c>
      <c r="X278" s="1375">
        <v>6</v>
      </c>
      <c r="Y278" s="1377" t="s">
        <v>10</v>
      </c>
      <c r="Z278" s="1375">
        <v>6</v>
      </c>
      <c r="AA278" s="1377" t="s">
        <v>45</v>
      </c>
      <c r="AB278" s="1375">
        <v>7</v>
      </c>
      <c r="AC278" s="1377" t="s">
        <v>10</v>
      </c>
      <c r="AD278" s="1375">
        <v>3</v>
      </c>
      <c r="AE278" s="1377" t="s">
        <v>13</v>
      </c>
      <c r="AF278" s="1377" t="s">
        <v>24</v>
      </c>
      <c r="AG278" s="1377">
        <f>IF(X278&gt;=1,(AB278*12+AD278)-(X278*12+Z278)+1,"")</f>
        <v>10</v>
      </c>
      <c r="AH278" s="1379" t="s">
        <v>38</v>
      </c>
      <c r="AI278" s="1381" t="str">
        <f>IFERROR(ROUNDDOWN(ROUND(L278*V278,0)*M278,0)*AG278,"")</f>
        <v/>
      </c>
      <c r="AJ278" s="1383" t="str">
        <f>IFERROR(ROUNDDOWN(ROUND((L278*(V278-AX278)),0)*M278,0)*AG278,"")</f>
        <v/>
      </c>
      <c r="AK278" s="1385">
        <f>IFERROR(IF(OR(N278="",N279="",N281=""),0,ROUNDDOWN(ROUNDDOWN(ROUND(L278*VLOOKUP(K278,【参考】数式用!$A$5:$AB$27,MATCH("新加算Ⅳ",【参考】数式用!$B$4:$AB$4,0)+1,0),0)*M278,0)*AG278*0.5,0)),"")</f>
        <v>0</v>
      </c>
      <c r="AL278" s="1363"/>
      <c r="AM278" s="138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04"/>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2098</v>
      </c>
      <c r="BA278" s="1247" t="s">
        <v>2099</v>
      </c>
      <c r="BB278" s="1247" t="s">
        <v>2100</v>
      </c>
      <c r="BC278" s="1247" t="s">
        <v>2101</v>
      </c>
      <c r="BD278" s="1247" t="str">
        <f>IF(AND(P278&lt;&gt;"新加算Ⅰ",P278&lt;&gt;"新加算Ⅱ",P278&lt;&gt;"新加算Ⅲ",P278&lt;&gt;"新加算Ⅳ"),P278,IF(Q280&lt;&gt;"",Q280,""))</f>
        <v/>
      </c>
      <c r="BE278" s="1247"/>
      <c r="BF278" s="1247" t="str">
        <f t="shared" ref="BF278" si="209">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315"/>
      <c r="B279" s="1301"/>
      <c r="C279" s="1302"/>
      <c r="D279" s="1302"/>
      <c r="E279" s="1302"/>
      <c r="F279" s="1303"/>
      <c r="G279" s="1268"/>
      <c r="H279" s="1268"/>
      <c r="I279" s="1268"/>
      <c r="J279" s="1443"/>
      <c r="K279" s="1268"/>
      <c r="L279" s="1274"/>
      <c r="M279" s="1445"/>
      <c r="N279" s="1399" t="str">
        <f>IF('別紙様式2-2（４・５月分）'!Q213="","",'別紙様式2-2（４・５月分）'!Q213)</f>
        <v/>
      </c>
      <c r="O279" s="1420"/>
      <c r="P279" s="1426"/>
      <c r="Q279" s="1427"/>
      <c r="R279" s="1428"/>
      <c r="S279" s="1430"/>
      <c r="T279" s="1432"/>
      <c r="U279" s="1434"/>
      <c r="V279" s="1436"/>
      <c r="W279" s="1438"/>
      <c r="X279" s="1376"/>
      <c r="Y279" s="1378"/>
      <c r="Z279" s="1376"/>
      <c r="AA279" s="1378"/>
      <c r="AB279" s="1376"/>
      <c r="AC279" s="1378"/>
      <c r="AD279" s="1376"/>
      <c r="AE279" s="1378"/>
      <c r="AF279" s="1378"/>
      <c r="AG279" s="1378"/>
      <c r="AH279" s="1380"/>
      <c r="AI279" s="1382"/>
      <c r="AJ279" s="1384"/>
      <c r="AK279" s="1386"/>
      <c r="AL279" s="1364"/>
      <c r="AM279" s="1388"/>
      <c r="AN279" s="1360"/>
      <c r="AO279" s="1390"/>
      <c r="AP279" s="1394"/>
      <c r="AQ279" s="1394"/>
      <c r="AR279" s="1396"/>
      <c r="AS279" s="1348"/>
      <c r="AT279" s="1334" t="str">
        <f t="shared" si="206"/>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1"/>
      <c r="C280" s="1302"/>
      <c r="D280" s="1302"/>
      <c r="E280" s="1302"/>
      <c r="F280" s="1303"/>
      <c r="G280" s="1268"/>
      <c r="H280" s="1268"/>
      <c r="I280" s="1268"/>
      <c r="J280" s="1443"/>
      <c r="K280" s="1268"/>
      <c r="L280" s="1274"/>
      <c r="M280" s="1445"/>
      <c r="N280" s="1400"/>
      <c r="O280" s="1421"/>
      <c r="P280" s="1401" t="s">
        <v>2179</v>
      </c>
      <c r="Q280" s="1403" t="str">
        <f>IFERROR(VLOOKUP('別紙様式2-2（４・５月分）'!AR212,【参考】数式用!$AT$5:$AV$22,3,FALSE),"")</f>
        <v/>
      </c>
      <c r="R280" s="1405" t="s">
        <v>2190</v>
      </c>
      <c r="S280" s="1447" t="str">
        <f>IFERROR(VLOOKUP(K278,【参考】数式用!$A$5:$AB$27,MATCH(Q280,【参考】数式用!$B$4:$AB$4,0)+1,0),"")</f>
        <v/>
      </c>
      <c r="T280" s="1409" t="s">
        <v>217</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5" t="s">
        <v>38</v>
      </c>
      <c r="AI280" s="1367" t="str">
        <f>IFERROR(ROUNDDOWN(ROUND(L278*V280,0)*M278,0)*AG280,"")</f>
        <v/>
      </c>
      <c r="AJ280" s="1369" t="str">
        <f>IFERROR(ROUNDDOWN(ROUND((L278*(V280-AX278)),0)*M278,0)*AG280,"")</f>
        <v/>
      </c>
      <c r="AK280" s="1371">
        <f>IFERROR(IF(OR(N278="",N279="",N281=""),0,ROUNDDOWN(ROUNDDOWN(ROUND(L278*VLOOKUP(K278,【参考】数式用!$A$5:$AB$27,MATCH("新加算Ⅳ",【参考】数式用!$B$4:$AB$4,0)+1,0),0)*M278,0)*AG280*0.5,0)),"")</f>
        <v>0</v>
      </c>
      <c r="AL280" s="1361" t="str">
        <f t="shared" ref="AL280" si="210">IF(U280&lt;&gt;"","新規に適用","")</f>
        <v/>
      </c>
      <c r="AM280" s="1373">
        <f>IFERROR(IF(OR(N281="ベア加算",N281=""),0, IF(OR(U278="新加算Ⅰ",U278="新加算Ⅱ",U278="新加算Ⅲ",U278="新加算Ⅳ"),0,ROUNDDOWN(ROUND(L278*VLOOKUP(K278,【参考】数式用!$A$5:$I$27,MATCH("ベア加算",【参考】数式用!$B$4:$I$4,0)+1,0),0)*M278,0)*AG280)),"")</f>
        <v>0</v>
      </c>
      <c r="AN280" s="1345" t="str">
        <f>IF(AND(U280&lt;&gt;"",AN278=""),"新規に適用",IF(AND(U280&lt;&gt;"",AN278&lt;&gt;""),"継続で適用",""))</f>
        <v/>
      </c>
      <c r="AO280" s="1345" t="str">
        <f>IF(AND(U280&lt;&gt;"",AO278=""),"新規に適用",IF(AND(U280&lt;&gt;"",AO278&lt;&gt;""),"継続で適用",""))</f>
        <v/>
      </c>
      <c r="AP280" s="1391"/>
      <c r="AQ280" s="1345" t="str">
        <f>IF(AND(U280&lt;&gt;"",AQ278=""),"新規に適用",IF(AND(U280&lt;&gt;"",AQ278&lt;&gt;""),"継続で適用",""))</f>
        <v/>
      </c>
      <c r="AR280" s="1349" t="str">
        <f t="shared" si="172"/>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316"/>
      <c r="B281" s="1439"/>
      <c r="C281" s="1440"/>
      <c r="D281" s="1440"/>
      <c r="E281" s="1440"/>
      <c r="F281" s="1441"/>
      <c r="G281" s="1269"/>
      <c r="H281" s="1269"/>
      <c r="I281" s="1269"/>
      <c r="J281" s="1444"/>
      <c r="K281" s="1269"/>
      <c r="L281" s="1275"/>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66"/>
      <c r="AI281" s="1368"/>
      <c r="AJ281" s="1370"/>
      <c r="AK281" s="1372"/>
      <c r="AL281" s="1362"/>
      <c r="AM281" s="1374"/>
      <c r="AN281" s="1346"/>
      <c r="AO281" s="1346"/>
      <c r="AP281" s="1392"/>
      <c r="AQ281" s="1346"/>
      <c r="AR281" s="1350"/>
      <c r="AS281" s="1346"/>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4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2173</v>
      </c>
      <c r="U282" s="1433"/>
      <c r="V282" s="1435" t="str">
        <f>IFERROR(VLOOKUP(K282,【参考】数式用!$A$5:$AB$27,MATCH(U282,【参考】数式用!$B$4:$AB$4,0)+1,0),"")</f>
        <v/>
      </c>
      <c r="W282" s="1437" t="s">
        <v>19</v>
      </c>
      <c r="X282" s="1375">
        <v>6</v>
      </c>
      <c r="Y282" s="1377" t="s">
        <v>10</v>
      </c>
      <c r="Z282" s="1375">
        <v>6</v>
      </c>
      <c r="AA282" s="1377" t="s">
        <v>45</v>
      </c>
      <c r="AB282" s="1375">
        <v>7</v>
      </c>
      <c r="AC282" s="1377" t="s">
        <v>10</v>
      </c>
      <c r="AD282" s="1375">
        <v>3</v>
      </c>
      <c r="AE282" s="1377" t="s">
        <v>13</v>
      </c>
      <c r="AF282" s="1377" t="s">
        <v>24</v>
      </c>
      <c r="AG282" s="1377">
        <f>IF(X282&gt;=1,(AB282*12+AD282)-(X282*12+Z282)+1,"")</f>
        <v>10</v>
      </c>
      <c r="AH282" s="1379" t="s">
        <v>38</v>
      </c>
      <c r="AI282" s="1381" t="str">
        <f>IFERROR(ROUNDDOWN(ROUND(L282*V282,0)*M282,0)*AG282,"")</f>
        <v/>
      </c>
      <c r="AJ282" s="1383" t="str">
        <f>IFERROR(ROUNDDOWN(ROUND((L282*(V282-AX282)),0)*M282,0)*AG282,"")</f>
        <v/>
      </c>
      <c r="AK282" s="1385">
        <f>IFERROR(IF(OR(N282="",N283="",N285=""),0,ROUNDDOWN(ROUNDDOWN(ROUND(L282*VLOOKUP(K282,【参考】数式用!$A$5:$AB$27,MATCH("新加算Ⅳ",【参考】数式用!$B$4:$AB$4,0)+1,0),0)*M282,0)*AG282*0.5,0)),"")</f>
        <v>0</v>
      </c>
      <c r="AL282" s="1363"/>
      <c r="AM282" s="138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04"/>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2098</v>
      </c>
      <c r="BA282" s="1247" t="s">
        <v>2099</v>
      </c>
      <c r="BB282" s="1247" t="s">
        <v>2100</v>
      </c>
      <c r="BC282" s="1247" t="s">
        <v>2101</v>
      </c>
      <c r="BD282" s="1247" t="str">
        <f>IF(AND(P282&lt;&gt;"新加算Ⅰ",P282&lt;&gt;"新加算Ⅱ",P282&lt;&gt;"新加算Ⅲ",P282&lt;&gt;"新加算Ⅳ"),P282,IF(Q284&lt;&gt;"",Q284,""))</f>
        <v/>
      </c>
      <c r="BE282" s="1247"/>
      <c r="BF282" s="1247" t="str">
        <f t="shared" ref="BF282" si="212">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315"/>
      <c r="B283" s="1301"/>
      <c r="C283" s="1302"/>
      <c r="D283" s="1302"/>
      <c r="E283" s="1302"/>
      <c r="F283" s="1303"/>
      <c r="G283" s="1268"/>
      <c r="H283" s="1268"/>
      <c r="I283" s="1268"/>
      <c r="J283" s="1443"/>
      <c r="K283" s="1268"/>
      <c r="L283" s="1274"/>
      <c r="M283" s="1277"/>
      <c r="N283" s="1399" t="str">
        <f>IF('別紙様式2-2（４・５月分）'!Q216="","",'別紙様式2-2（４・５月分）'!Q216)</f>
        <v/>
      </c>
      <c r="O283" s="1420"/>
      <c r="P283" s="1426"/>
      <c r="Q283" s="1427"/>
      <c r="R283" s="1428"/>
      <c r="S283" s="1430"/>
      <c r="T283" s="1432"/>
      <c r="U283" s="1434"/>
      <c r="V283" s="1436"/>
      <c r="W283" s="1438"/>
      <c r="X283" s="1376"/>
      <c r="Y283" s="1378"/>
      <c r="Z283" s="1376"/>
      <c r="AA283" s="1378"/>
      <c r="AB283" s="1376"/>
      <c r="AC283" s="1378"/>
      <c r="AD283" s="1376"/>
      <c r="AE283" s="1378"/>
      <c r="AF283" s="1378"/>
      <c r="AG283" s="1378"/>
      <c r="AH283" s="1380"/>
      <c r="AI283" s="1382"/>
      <c r="AJ283" s="1384"/>
      <c r="AK283" s="1386"/>
      <c r="AL283" s="1364"/>
      <c r="AM283" s="1388"/>
      <c r="AN283" s="1360"/>
      <c r="AO283" s="1390"/>
      <c r="AP283" s="1394"/>
      <c r="AQ283" s="1394"/>
      <c r="AR283" s="1396"/>
      <c r="AS283" s="1348"/>
      <c r="AT283" s="1334" t="str">
        <f t="shared" si="206"/>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1"/>
      <c r="C284" s="1302"/>
      <c r="D284" s="1302"/>
      <c r="E284" s="1302"/>
      <c r="F284" s="1303"/>
      <c r="G284" s="1268"/>
      <c r="H284" s="1268"/>
      <c r="I284" s="1268"/>
      <c r="J284" s="1443"/>
      <c r="K284" s="1268"/>
      <c r="L284" s="1274"/>
      <c r="M284" s="1277"/>
      <c r="N284" s="1400"/>
      <c r="O284" s="1421"/>
      <c r="P284" s="1401" t="s">
        <v>2179</v>
      </c>
      <c r="Q284" s="1403" t="str">
        <f>IFERROR(VLOOKUP('別紙様式2-2（４・５月分）'!AR215,【参考】数式用!$AT$5:$AV$22,3,FALSE),"")</f>
        <v/>
      </c>
      <c r="R284" s="1405" t="s">
        <v>2190</v>
      </c>
      <c r="S284" s="1407" t="str">
        <f>IFERROR(VLOOKUP(K282,【参考】数式用!$A$5:$AB$27,MATCH(Q284,【参考】数式用!$B$4:$AB$4,0)+1,0),"")</f>
        <v/>
      </c>
      <c r="T284" s="1409" t="s">
        <v>217</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5" t="s">
        <v>38</v>
      </c>
      <c r="AI284" s="1367" t="str">
        <f>IFERROR(ROUNDDOWN(ROUND(L282*V284,0)*M282,0)*AG284,"")</f>
        <v/>
      </c>
      <c r="AJ284" s="1369" t="str">
        <f>IFERROR(ROUNDDOWN(ROUND((L282*(V284-AX282)),0)*M282,0)*AG284,"")</f>
        <v/>
      </c>
      <c r="AK284" s="1371">
        <f>IFERROR(IF(OR(N282="",N283="",N285=""),0,ROUNDDOWN(ROUNDDOWN(ROUND(L282*VLOOKUP(K282,【参考】数式用!$A$5:$AB$27,MATCH("新加算Ⅳ",【参考】数式用!$B$4:$AB$4,0)+1,0),0)*M282,0)*AG284*0.5,0)),"")</f>
        <v>0</v>
      </c>
      <c r="AL284" s="1361" t="str">
        <f t="shared" ref="AL284" si="213">IF(U284&lt;&gt;"","新規に適用","")</f>
        <v/>
      </c>
      <c r="AM284" s="1373">
        <f>IFERROR(IF(OR(N285="ベア加算",N285=""),0, IF(OR(U282="新加算Ⅰ",U282="新加算Ⅱ",U282="新加算Ⅲ",U282="新加算Ⅳ"),0,ROUNDDOWN(ROUND(L282*VLOOKUP(K282,【参考】数式用!$A$5:$I$27,MATCH("ベア加算",【参考】数式用!$B$4:$I$4,0)+1,0),0)*M282,0)*AG284)),"")</f>
        <v>0</v>
      </c>
      <c r="AN284" s="1345" t="str">
        <f>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2"/>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316"/>
      <c r="B285" s="1439"/>
      <c r="C285" s="1440"/>
      <c r="D285" s="1440"/>
      <c r="E285" s="1440"/>
      <c r="F285" s="1441"/>
      <c r="G285" s="1269"/>
      <c r="H285" s="1269"/>
      <c r="I285" s="1269"/>
      <c r="J285" s="1444"/>
      <c r="K285" s="1269"/>
      <c r="L285" s="1275"/>
      <c r="M285" s="1278"/>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66"/>
      <c r="AI285" s="1368"/>
      <c r="AJ285" s="1370"/>
      <c r="AK285" s="1372"/>
      <c r="AL285" s="1362"/>
      <c r="AM285" s="1374"/>
      <c r="AN285" s="1346"/>
      <c r="AO285" s="1346"/>
      <c r="AP285" s="1392"/>
      <c r="AQ285" s="1346"/>
      <c r="AR285" s="1350"/>
      <c r="AS285" s="1346"/>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314">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43" t="str">
        <f>IF(基本情報入力シート!X122="","",基本情報入力シート!X122)</f>
        <v/>
      </c>
      <c r="K286" s="1268" t="str">
        <f>IF(基本情報入力シート!Y122="","",基本情報入力シート!Y122)</f>
        <v/>
      </c>
      <c r="L286" s="1274"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2173</v>
      </c>
      <c r="U286" s="1433"/>
      <c r="V286" s="1435" t="str">
        <f>IFERROR(VLOOKUP(K286,【参考】数式用!$A$5:$AB$27,MATCH(U286,【参考】数式用!$B$4:$AB$4,0)+1,0),"")</f>
        <v/>
      </c>
      <c r="W286" s="1437" t="s">
        <v>19</v>
      </c>
      <c r="X286" s="1375">
        <v>6</v>
      </c>
      <c r="Y286" s="1377" t="s">
        <v>10</v>
      </c>
      <c r="Z286" s="1375">
        <v>6</v>
      </c>
      <c r="AA286" s="1377" t="s">
        <v>45</v>
      </c>
      <c r="AB286" s="1375">
        <v>7</v>
      </c>
      <c r="AC286" s="1377" t="s">
        <v>10</v>
      </c>
      <c r="AD286" s="1375">
        <v>3</v>
      </c>
      <c r="AE286" s="1377" t="s">
        <v>13</v>
      </c>
      <c r="AF286" s="1377" t="s">
        <v>24</v>
      </c>
      <c r="AG286" s="1377">
        <f>IF(X286&gt;=1,(AB286*12+AD286)-(X286*12+Z286)+1,"")</f>
        <v>10</v>
      </c>
      <c r="AH286" s="1379" t="s">
        <v>38</v>
      </c>
      <c r="AI286" s="1381" t="str">
        <f>IFERROR(ROUNDDOWN(ROUND(L286*V286,0)*M286,0)*AG286,"")</f>
        <v/>
      </c>
      <c r="AJ286" s="1383" t="str">
        <f>IFERROR(ROUNDDOWN(ROUND((L286*(V286-AX286)),0)*M286,0)*AG286,"")</f>
        <v/>
      </c>
      <c r="AK286" s="1385">
        <f>IFERROR(IF(OR(N286="",N287="",N289=""),0,ROUNDDOWN(ROUNDDOWN(ROUND(L286*VLOOKUP(K286,【参考】数式用!$A$5:$AB$27,MATCH("新加算Ⅳ",【参考】数式用!$B$4:$AB$4,0)+1,0),0)*M286,0)*AG286*0.5,0)),"")</f>
        <v>0</v>
      </c>
      <c r="AL286" s="1363"/>
      <c r="AM286" s="138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04"/>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2098</v>
      </c>
      <c r="BA286" s="1247" t="s">
        <v>2099</v>
      </c>
      <c r="BB286" s="1247" t="s">
        <v>2100</v>
      </c>
      <c r="BC286" s="1247" t="s">
        <v>2101</v>
      </c>
      <c r="BD286" s="1247" t="str">
        <f>IF(AND(P286&lt;&gt;"新加算Ⅰ",P286&lt;&gt;"新加算Ⅱ",P286&lt;&gt;"新加算Ⅲ",P286&lt;&gt;"新加算Ⅳ"),P286,IF(Q288&lt;&gt;"",Q288,""))</f>
        <v/>
      </c>
      <c r="BE286" s="1247"/>
      <c r="BF286" s="1247" t="str">
        <f t="shared" ref="BF286" si="215">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315"/>
      <c r="B287" s="1301"/>
      <c r="C287" s="1302"/>
      <c r="D287" s="1302"/>
      <c r="E287" s="1302"/>
      <c r="F287" s="1303"/>
      <c r="G287" s="1268"/>
      <c r="H287" s="1268"/>
      <c r="I287" s="1268"/>
      <c r="J287" s="1443"/>
      <c r="K287" s="1268"/>
      <c r="L287" s="1274"/>
      <c r="M287" s="1445"/>
      <c r="N287" s="1399" t="str">
        <f>IF('別紙様式2-2（４・５月分）'!Q219="","",'別紙様式2-2（４・５月分）'!Q219)</f>
        <v/>
      </c>
      <c r="O287" s="1420"/>
      <c r="P287" s="1426"/>
      <c r="Q287" s="1427"/>
      <c r="R287" s="1428"/>
      <c r="S287" s="1430"/>
      <c r="T287" s="1432"/>
      <c r="U287" s="1434"/>
      <c r="V287" s="1436"/>
      <c r="W287" s="1438"/>
      <c r="X287" s="1376"/>
      <c r="Y287" s="1378"/>
      <c r="Z287" s="1376"/>
      <c r="AA287" s="1378"/>
      <c r="AB287" s="1376"/>
      <c r="AC287" s="1378"/>
      <c r="AD287" s="1376"/>
      <c r="AE287" s="1378"/>
      <c r="AF287" s="1378"/>
      <c r="AG287" s="1378"/>
      <c r="AH287" s="1380"/>
      <c r="AI287" s="1382"/>
      <c r="AJ287" s="1384"/>
      <c r="AK287" s="1386"/>
      <c r="AL287" s="1364"/>
      <c r="AM287" s="1388"/>
      <c r="AN287" s="1360"/>
      <c r="AO287" s="1390"/>
      <c r="AP287" s="1394"/>
      <c r="AQ287" s="1394"/>
      <c r="AR287" s="1396"/>
      <c r="AS287" s="1348"/>
      <c r="AT287" s="1334" t="str">
        <f t="shared" si="206"/>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1"/>
      <c r="C288" s="1302"/>
      <c r="D288" s="1302"/>
      <c r="E288" s="1302"/>
      <c r="F288" s="1303"/>
      <c r="G288" s="1268"/>
      <c r="H288" s="1268"/>
      <c r="I288" s="1268"/>
      <c r="J288" s="1443"/>
      <c r="K288" s="1268"/>
      <c r="L288" s="1274"/>
      <c r="M288" s="1445"/>
      <c r="N288" s="1400"/>
      <c r="O288" s="1421"/>
      <c r="P288" s="1401" t="s">
        <v>2179</v>
      </c>
      <c r="Q288" s="1403" t="str">
        <f>IFERROR(VLOOKUP('別紙様式2-2（４・５月分）'!AR218,【参考】数式用!$AT$5:$AV$22,3,FALSE),"")</f>
        <v/>
      </c>
      <c r="R288" s="1405" t="s">
        <v>2190</v>
      </c>
      <c r="S288" s="1447" t="str">
        <f>IFERROR(VLOOKUP(K286,【参考】数式用!$A$5:$AB$27,MATCH(Q288,【参考】数式用!$B$4:$AB$4,0)+1,0),"")</f>
        <v/>
      </c>
      <c r="T288" s="1409" t="s">
        <v>217</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5" t="s">
        <v>38</v>
      </c>
      <c r="AI288" s="1367" t="str">
        <f>IFERROR(ROUNDDOWN(ROUND(L286*V288,0)*M286,0)*AG288,"")</f>
        <v/>
      </c>
      <c r="AJ288" s="1369" t="str">
        <f>IFERROR(ROUNDDOWN(ROUND((L286*(V288-AX286)),0)*M286,0)*AG288,"")</f>
        <v/>
      </c>
      <c r="AK288" s="1371">
        <f>IFERROR(IF(OR(N286="",N287="",N289=""),0,ROUNDDOWN(ROUNDDOWN(ROUND(L286*VLOOKUP(K286,【参考】数式用!$A$5:$AB$27,MATCH("新加算Ⅳ",【参考】数式用!$B$4:$AB$4,0)+1,0),0)*M286,0)*AG288*0.5,0)),"")</f>
        <v>0</v>
      </c>
      <c r="AL288" s="1361" t="str">
        <f t="shared" ref="AL288" si="216">IF(U288&lt;&gt;"","新規に適用","")</f>
        <v/>
      </c>
      <c r="AM288" s="1373">
        <f>IFERROR(IF(OR(N289="ベア加算",N289=""),0, IF(OR(U286="新加算Ⅰ",U286="新加算Ⅱ",U286="新加算Ⅲ",U286="新加算Ⅳ"),0,ROUNDDOWN(ROUND(L286*VLOOKUP(K286,【参考】数式用!$A$5:$I$27,MATCH("ベア加算",【参考】数式用!$B$4:$I$4,0)+1,0),0)*M286,0)*AG288)),"")</f>
        <v>0</v>
      </c>
      <c r="AN288" s="1345" t="str">
        <f>IF(AND(U288&lt;&gt;"",AN286=""),"新規に適用",IF(AND(U288&lt;&gt;"",AN286&lt;&gt;""),"継続で適用",""))</f>
        <v/>
      </c>
      <c r="AO288" s="1345" t="str">
        <f>IF(AND(U288&lt;&gt;"",AO286=""),"新規に適用",IF(AND(U288&lt;&gt;"",AO286&lt;&gt;""),"継続で適用",""))</f>
        <v/>
      </c>
      <c r="AP288" s="1391"/>
      <c r="AQ288" s="1345" t="str">
        <f>IF(AND(U288&lt;&gt;"",AQ286=""),"新規に適用",IF(AND(U288&lt;&gt;"",AQ286&lt;&gt;""),"継続で適用",""))</f>
        <v/>
      </c>
      <c r="AR288" s="1349" t="str">
        <f t="shared" si="172"/>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316"/>
      <c r="B289" s="1439"/>
      <c r="C289" s="1440"/>
      <c r="D289" s="1440"/>
      <c r="E289" s="1440"/>
      <c r="F289" s="1441"/>
      <c r="G289" s="1269"/>
      <c r="H289" s="1269"/>
      <c r="I289" s="1269"/>
      <c r="J289" s="1444"/>
      <c r="K289" s="1269"/>
      <c r="L289" s="1275"/>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66"/>
      <c r="AI289" s="1368"/>
      <c r="AJ289" s="1370"/>
      <c r="AK289" s="1372"/>
      <c r="AL289" s="1362"/>
      <c r="AM289" s="1374"/>
      <c r="AN289" s="1346"/>
      <c r="AO289" s="1346"/>
      <c r="AP289" s="1392"/>
      <c r="AQ289" s="1346"/>
      <c r="AR289" s="1350"/>
      <c r="AS289" s="1346"/>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4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2173</v>
      </c>
      <c r="U290" s="1433"/>
      <c r="V290" s="1435" t="str">
        <f>IFERROR(VLOOKUP(K290,【参考】数式用!$A$5:$AB$27,MATCH(U290,【参考】数式用!$B$4:$AB$4,0)+1,0),"")</f>
        <v/>
      </c>
      <c r="W290" s="1437" t="s">
        <v>19</v>
      </c>
      <c r="X290" s="1375">
        <v>6</v>
      </c>
      <c r="Y290" s="1377" t="s">
        <v>10</v>
      </c>
      <c r="Z290" s="1375">
        <v>6</v>
      </c>
      <c r="AA290" s="1377" t="s">
        <v>45</v>
      </c>
      <c r="AB290" s="1375">
        <v>7</v>
      </c>
      <c r="AC290" s="1377" t="s">
        <v>10</v>
      </c>
      <c r="AD290" s="1375">
        <v>3</v>
      </c>
      <c r="AE290" s="1377" t="s">
        <v>13</v>
      </c>
      <c r="AF290" s="1377" t="s">
        <v>24</v>
      </c>
      <c r="AG290" s="1377">
        <f>IF(X290&gt;=1,(AB290*12+AD290)-(X290*12+Z290)+1,"")</f>
        <v>10</v>
      </c>
      <c r="AH290" s="1379" t="s">
        <v>38</v>
      </c>
      <c r="AI290" s="1381" t="str">
        <f>IFERROR(ROUNDDOWN(ROUND(L290*V290,0)*M290,0)*AG290,"")</f>
        <v/>
      </c>
      <c r="AJ290" s="1383" t="str">
        <f>IFERROR(ROUNDDOWN(ROUND((L290*(V290-AX290)),0)*M290,0)*AG290,"")</f>
        <v/>
      </c>
      <c r="AK290" s="1385">
        <f>IFERROR(IF(OR(N290="",N291="",N293=""),0,ROUNDDOWN(ROUNDDOWN(ROUND(L290*VLOOKUP(K290,【参考】数式用!$A$5:$AB$27,MATCH("新加算Ⅳ",【参考】数式用!$B$4:$AB$4,0)+1,0),0)*M290,0)*AG290*0.5,0)),"")</f>
        <v>0</v>
      </c>
      <c r="AL290" s="1363"/>
      <c r="AM290" s="138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04"/>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2098</v>
      </c>
      <c r="BA290" s="1247" t="s">
        <v>2099</v>
      </c>
      <c r="BB290" s="1247" t="s">
        <v>2100</v>
      </c>
      <c r="BC290" s="1247" t="s">
        <v>2101</v>
      </c>
      <c r="BD290" s="1247" t="str">
        <f>IF(AND(P290&lt;&gt;"新加算Ⅰ",P290&lt;&gt;"新加算Ⅱ",P290&lt;&gt;"新加算Ⅲ",P290&lt;&gt;"新加算Ⅳ"),P290,IF(Q292&lt;&gt;"",Q292,""))</f>
        <v/>
      </c>
      <c r="BE290" s="1247"/>
      <c r="BF290" s="1247" t="str">
        <f t="shared" ref="BF290" si="218">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315"/>
      <c r="B291" s="1301"/>
      <c r="C291" s="1302"/>
      <c r="D291" s="1302"/>
      <c r="E291" s="1302"/>
      <c r="F291" s="1303"/>
      <c r="G291" s="1268"/>
      <c r="H291" s="1268"/>
      <c r="I291" s="1268"/>
      <c r="J291" s="1443"/>
      <c r="K291" s="1268"/>
      <c r="L291" s="1274"/>
      <c r="M291" s="1277"/>
      <c r="N291" s="1399" t="str">
        <f>IF('別紙様式2-2（４・５月分）'!Q222="","",'別紙様式2-2（４・５月分）'!Q222)</f>
        <v/>
      </c>
      <c r="O291" s="1420"/>
      <c r="P291" s="1426"/>
      <c r="Q291" s="1427"/>
      <c r="R291" s="1428"/>
      <c r="S291" s="1430"/>
      <c r="T291" s="1432"/>
      <c r="U291" s="1434"/>
      <c r="V291" s="1436"/>
      <c r="W291" s="1438"/>
      <c r="X291" s="1376"/>
      <c r="Y291" s="1378"/>
      <c r="Z291" s="1376"/>
      <c r="AA291" s="1378"/>
      <c r="AB291" s="1376"/>
      <c r="AC291" s="1378"/>
      <c r="AD291" s="1376"/>
      <c r="AE291" s="1378"/>
      <c r="AF291" s="1378"/>
      <c r="AG291" s="1378"/>
      <c r="AH291" s="1380"/>
      <c r="AI291" s="1382"/>
      <c r="AJ291" s="1384"/>
      <c r="AK291" s="1386"/>
      <c r="AL291" s="1364"/>
      <c r="AM291" s="1388"/>
      <c r="AN291" s="1360"/>
      <c r="AO291" s="1390"/>
      <c r="AP291" s="1394"/>
      <c r="AQ291" s="1394"/>
      <c r="AR291" s="1396"/>
      <c r="AS291" s="1348"/>
      <c r="AT291" s="1334" t="str">
        <f t="shared" si="206"/>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1"/>
      <c r="C292" s="1302"/>
      <c r="D292" s="1302"/>
      <c r="E292" s="1302"/>
      <c r="F292" s="1303"/>
      <c r="G292" s="1268"/>
      <c r="H292" s="1268"/>
      <c r="I292" s="1268"/>
      <c r="J292" s="1443"/>
      <c r="K292" s="1268"/>
      <c r="L292" s="1274"/>
      <c r="M292" s="1277"/>
      <c r="N292" s="1400"/>
      <c r="O292" s="1421"/>
      <c r="P292" s="1401" t="s">
        <v>2179</v>
      </c>
      <c r="Q292" s="1403" t="str">
        <f>IFERROR(VLOOKUP('別紙様式2-2（４・５月分）'!AR221,【参考】数式用!$AT$5:$AV$22,3,FALSE),"")</f>
        <v/>
      </c>
      <c r="R292" s="1405" t="s">
        <v>2190</v>
      </c>
      <c r="S292" s="1407" t="str">
        <f>IFERROR(VLOOKUP(K290,【参考】数式用!$A$5:$AB$27,MATCH(Q292,【参考】数式用!$B$4:$AB$4,0)+1,0),"")</f>
        <v/>
      </c>
      <c r="T292" s="1409" t="s">
        <v>217</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5" t="s">
        <v>38</v>
      </c>
      <c r="AI292" s="1367" t="str">
        <f>IFERROR(ROUNDDOWN(ROUND(L290*V292,0)*M290,0)*AG292,"")</f>
        <v/>
      </c>
      <c r="AJ292" s="1369" t="str">
        <f>IFERROR(ROUNDDOWN(ROUND((L290*(V292-AX290)),0)*M290,0)*AG292,"")</f>
        <v/>
      </c>
      <c r="AK292" s="1371">
        <f>IFERROR(IF(OR(N290="",N291="",N293=""),0,ROUNDDOWN(ROUNDDOWN(ROUND(L290*VLOOKUP(K290,【参考】数式用!$A$5:$AB$27,MATCH("新加算Ⅳ",【参考】数式用!$B$4:$AB$4,0)+1,0),0)*M290,0)*AG292*0.5,0)),"")</f>
        <v>0</v>
      </c>
      <c r="AL292" s="1361" t="str">
        <f t="shared" ref="AL292" si="219">IF(U292&lt;&gt;"","新規に適用","")</f>
        <v/>
      </c>
      <c r="AM292" s="1373">
        <f>IFERROR(IF(OR(N293="ベア加算",N293=""),0, IF(OR(U290="新加算Ⅰ",U290="新加算Ⅱ",U290="新加算Ⅲ",U290="新加算Ⅳ"),0,ROUNDDOWN(ROUND(L290*VLOOKUP(K290,【参考】数式用!$A$5:$I$27,MATCH("ベア加算",【参考】数式用!$B$4:$I$4,0)+1,0),0)*M290,0)*AG292)),"")</f>
        <v>0</v>
      </c>
      <c r="AN292" s="1345" t="str">
        <f>IF(AND(U292&lt;&gt;"",AN290=""),"新規に適用",IF(AND(U292&lt;&gt;"",AN290&lt;&gt;""),"継続で適用",""))</f>
        <v/>
      </c>
      <c r="AO292" s="1345" t="str">
        <f>IF(AND(U292&lt;&gt;"",AO290=""),"新規に適用",IF(AND(U292&lt;&gt;"",AO290&lt;&gt;""),"継続で適用",""))</f>
        <v/>
      </c>
      <c r="AP292" s="1391"/>
      <c r="AQ292" s="1345" t="str">
        <f>IF(AND(U292&lt;&gt;"",AQ290=""),"新規に適用",IF(AND(U292&lt;&gt;"",AQ290&lt;&gt;""),"継続で適用",""))</f>
        <v/>
      </c>
      <c r="AR292" s="1349" t="str">
        <f t="shared" si="172"/>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316"/>
      <c r="B293" s="1439"/>
      <c r="C293" s="1440"/>
      <c r="D293" s="1440"/>
      <c r="E293" s="1440"/>
      <c r="F293" s="1441"/>
      <c r="G293" s="1269"/>
      <c r="H293" s="1269"/>
      <c r="I293" s="1269"/>
      <c r="J293" s="1444"/>
      <c r="K293" s="1269"/>
      <c r="L293" s="1275"/>
      <c r="M293" s="1278"/>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66"/>
      <c r="AI293" s="1368"/>
      <c r="AJ293" s="1370"/>
      <c r="AK293" s="1372"/>
      <c r="AL293" s="1362"/>
      <c r="AM293" s="1374"/>
      <c r="AN293" s="1346"/>
      <c r="AO293" s="1346"/>
      <c r="AP293" s="1392"/>
      <c r="AQ293" s="1346"/>
      <c r="AR293" s="1350"/>
      <c r="AS293" s="1346"/>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314">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43" t="str">
        <f>IF(基本情報入力シート!X124="","",基本情報入力シート!X124)</f>
        <v/>
      </c>
      <c r="K294" s="1268" t="str">
        <f>IF(基本情報入力シート!Y124="","",基本情報入力シート!Y124)</f>
        <v/>
      </c>
      <c r="L294" s="1274"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2173</v>
      </c>
      <c r="U294" s="1433"/>
      <c r="V294" s="1435" t="str">
        <f>IFERROR(VLOOKUP(K294,【参考】数式用!$A$5:$AB$27,MATCH(U294,【参考】数式用!$B$4:$AB$4,0)+1,0),"")</f>
        <v/>
      </c>
      <c r="W294" s="1437" t="s">
        <v>19</v>
      </c>
      <c r="X294" s="1375">
        <v>6</v>
      </c>
      <c r="Y294" s="1377" t="s">
        <v>10</v>
      </c>
      <c r="Z294" s="1375">
        <v>6</v>
      </c>
      <c r="AA294" s="1377" t="s">
        <v>45</v>
      </c>
      <c r="AB294" s="1375">
        <v>7</v>
      </c>
      <c r="AC294" s="1377" t="s">
        <v>10</v>
      </c>
      <c r="AD294" s="1375">
        <v>3</v>
      </c>
      <c r="AE294" s="1377" t="s">
        <v>13</v>
      </c>
      <c r="AF294" s="1377" t="s">
        <v>24</v>
      </c>
      <c r="AG294" s="1377">
        <f>IF(X294&gt;=1,(AB294*12+AD294)-(X294*12+Z294)+1,"")</f>
        <v>10</v>
      </c>
      <c r="AH294" s="1379" t="s">
        <v>38</v>
      </c>
      <c r="AI294" s="1381" t="str">
        <f>IFERROR(ROUNDDOWN(ROUND(L294*V294,0)*M294,0)*AG294,"")</f>
        <v/>
      </c>
      <c r="AJ294" s="1383" t="str">
        <f>IFERROR(ROUNDDOWN(ROUND((L294*(V294-AX294)),0)*M294,0)*AG294,"")</f>
        <v/>
      </c>
      <c r="AK294" s="1385">
        <f>IFERROR(IF(OR(N294="",N295="",N297=""),0,ROUNDDOWN(ROUNDDOWN(ROUND(L294*VLOOKUP(K294,【参考】数式用!$A$5:$AB$27,MATCH("新加算Ⅳ",【参考】数式用!$B$4:$AB$4,0)+1,0),0)*M294,0)*AG294*0.5,0)),"")</f>
        <v>0</v>
      </c>
      <c r="AL294" s="1363"/>
      <c r="AM294" s="138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04"/>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2098</v>
      </c>
      <c r="BA294" s="1247" t="s">
        <v>2099</v>
      </c>
      <c r="BB294" s="1247" t="s">
        <v>2100</v>
      </c>
      <c r="BC294" s="1247" t="s">
        <v>2101</v>
      </c>
      <c r="BD294" s="1247" t="str">
        <f>IF(AND(P294&lt;&gt;"新加算Ⅰ",P294&lt;&gt;"新加算Ⅱ",P294&lt;&gt;"新加算Ⅲ",P294&lt;&gt;"新加算Ⅳ"),P294,IF(Q296&lt;&gt;"",Q296,""))</f>
        <v/>
      </c>
      <c r="BE294" s="1247"/>
      <c r="BF294" s="1247" t="str">
        <f t="shared" ref="BF294" si="221">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315"/>
      <c r="B295" s="1301"/>
      <c r="C295" s="1302"/>
      <c r="D295" s="1302"/>
      <c r="E295" s="1302"/>
      <c r="F295" s="1303"/>
      <c r="G295" s="1268"/>
      <c r="H295" s="1268"/>
      <c r="I295" s="1268"/>
      <c r="J295" s="1443"/>
      <c r="K295" s="1268"/>
      <c r="L295" s="1274"/>
      <c r="M295" s="1445"/>
      <c r="N295" s="1399" t="str">
        <f>IF('別紙様式2-2（４・５月分）'!Q225="","",'別紙様式2-2（４・５月分）'!Q225)</f>
        <v/>
      </c>
      <c r="O295" s="1420"/>
      <c r="P295" s="1426"/>
      <c r="Q295" s="1427"/>
      <c r="R295" s="1428"/>
      <c r="S295" s="1430"/>
      <c r="T295" s="1432"/>
      <c r="U295" s="1434"/>
      <c r="V295" s="1436"/>
      <c r="W295" s="1438"/>
      <c r="X295" s="1376"/>
      <c r="Y295" s="1378"/>
      <c r="Z295" s="1376"/>
      <c r="AA295" s="1378"/>
      <c r="AB295" s="1376"/>
      <c r="AC295" s="1378"/>
      <c r="AD295" s="1376"/>
      <c r="AE295" s="1378"/>
      <c r="AF295" s="1378"/>
      <c r="AG295" s="1378"/>
      <c r="AH295" s="1380"/>
      <c r="AI295" s="1382"/>
      <c r="AJ295" s="1384"/>
      <c r="AK295" s="1386"/>
      <c r="AL295" s="1364"/>
      <c r="AM295" s="1388"/>
      <c r="AN295" s="1360"/>
      <c r="AO295" s="1390"/>
      <c r="AP295" s="1394"/>
      <c r="AQ295" s="1394"/>
      <c r="AR295" s="1396"/>
      <c r="AS295" s="1348"/>
      <c r="AT295" s="1334" t="str">
        <f t="shared" si="206"/>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1"/>
      <c r="C296" s="1302"/>
      <c r="D296" s="1302"/>
      <c r="E296" s="1302"/>
      <c r="F296" s="1303"/>
      <c r="G296" s="1268"/>
      <c r="H296" s="1268"/>
      <c r="I296" s="1268"/>
      <c r="J296" s="1443"/>
      <c r="K296" s="1268"/>
      <c r="L296" s="1274"/>
      <c r="M296" s="1445"/>
      <c r="N296" s="1400"/>
      <c r="O296" s="1421"/>
      <c r="P296" s="1401" t="s">
        <v>2179</v>
      </c>
      <c r="Q296" s="1403" t="str">
        <f>IFERROR(VLOOKUP('別紙様式2-2（４・５月分）'!AR224,【参考】数式用!$AT$5:$AV$22,3,FALSE),"")</f>
        <v/>
      </c>
      <c r="R296" s="1405" t="s">
        <v>2190</v>
      </c>
      <c r="S296" s="1447" t="str">
        <f>IFERROR(VLOOKUP(K294,【参考】数式用!$A$5:$AB$27,MATCH(Q296,【参考】数式用!$B$4:$AB$4,0)+1,0),"")</f>
        <v/>
      </c>
      <c r="T296" s="1409" t="s">
        <v>217</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5" t="s">
        <v>38</v>
      </c>
      <c r="AI296" s="1367" t="str">
        <f>IFERROR(ROUNDDOWN(ROUND(L294*V296,0)*M294,0)*AG296,"")</f>
        <v/>
      </c>
      <c r="AJ296" s="1369" t="str">
        <f>IFERROR(ROUNDDOWN(ROUND((L294*(V296-AX294)),0)*M294,0)*AG296,"")</f>
        <v/>
      </c>
      <c r="AK296" s="1371">
        <f>IFERROR(IF(OR(N294="",N295="",N297=""),0,ROUNDDOWN(ROUNDDOWN(ROUND(L294*VLOOKUP(K294,【参考】数式用!$A$5:$AB$27,MATCH("新加算Ⅳ",【参考】数式用!$B$4:$AB$4,0)+1,0),0)*M294,0)*AG296*0.5,0)),"")</f>
        <v>0</v>
      </c>
      <c r="AL296" s="1361" t="str">
        <f t="shared" ref="AL296" si="222">IF(U296&lt;&gt;"","新規に適用","")</f>
        <v/>
      </c>
      <c r="AM296" s="1373">
        <f>IFERROR(IF(OR(N297="ベア加算",N297=""),0, IF(OR(U294="新加算Ⅰ",U294="新加算Ⅱ",U294="新加算Ⅲ",U294="新加算Ⅳ"),0,ROUNDDOWN(ROUND(L294*VLOOKUP(K294,【参考】数式用!$A$5:$I$27,MATCH("ベア加算",【参考】数式用!$B$4:$I$4,0)+1,0),0)*M294,0)*AG296)),"")</f>
        <v>0</v>
      </c>
      <c r="AN296" s="1345" t="str">
        <f>IF(AND(U296&lt;&gt;"",AN294=""),"新規に適用",IF(AND(U296&lt;&gt;"",AN294&lt;&gt;""),"継続で適用",""))</f>
        <v/>
      </c>
      <c r="AO296" s="1345" t="str">
        <f>IF(AND(U296&lt;&gt;"",AO294=""),"新規に適用",IF(AND(U296&lt;&gt;"",AO294&lt;&gt;""),"継続で適用",""))</f>
        <v/>
      </c>
      <c r="AP296" s="1391"/>
      <c r="AQ296" s="1345" t="str">
        <f>IF(AND(U296&lt;&gt;"",AQ294=""),"新規に適用",IF(AND(U296&lt;&gt;"",AQ294&lt;&gt;""),"継続で適用",""))</f>
        <v/>
      </c>
      <c r="AR296" s="1349"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316"/>
      <c r="B297" s="1439"/>
      <c r="C297" s="1440"/>
      <c r="D297" s="1440"/>
      <c r="E297" s="1440"/>
      <c r="F297" s="1441"/>
      <c r="G297" s="1269"/>
      <c r="H297" s="1269"/>
      <c r="I297" s="1269"/>
      <c r="J297" s="1444"/>
      <c r="K297" s="1269"/>
      <c r="L297" s="1275"/>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66"/>
      <c r="AI297" s="1368"/>
      <c r="AJ297" s="1370"/>
      <c r="AK297" s="1372"/>
      <c r="AL297" s="1362"/>
      <c r="AM297" s="1374"/>
      <c r="AN297" s="1346"/>
      <c r="AO297" s="1346"/>
      <c r="AP297" s="1392"/>
      <c r="AQ297" s="1346"/>
      <c r="AR297" s="1350"/>
      <c r="AS297" s="1346"/>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4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2173</v>
      </c>
      <c r="U298" s="1433"/>
      <c r="V298" s="1435" t="str">
        <f>IFERROR(VLOOKUP(K298,【参考】数式用!$A$5:$AB$27,MATCH(U298,【参考】数式用!$B$4:$AB$4,0)+1,0),"")</f>
        <v/>
      </c>
      <c r="W298" s="1437" t="s">
        <v>19</v>
      </c>
      <c r="X298" s="1375">
        <v>6</v>
      </c>
      <c r="Y298" s="1377" t="s">
        <v>10</v>
      </c>
      <c r="Z298" s="1375">
        <v>6</v>
      </c>
      <c r="AA298" s="1377" t="s">
        <v>45</v>
      </c>
      <c r="AB298" s="1375">
        <v>7</v>
      </c>
      <c r="AC298" s="1377" t="s">
        <v>10</v>
      </c>
      <c r="AD298" s="1375">
        <v>3</v>
      </c>
      <c r="AE298" s="1377" t="s">
        <v>13</v>
      </c>
      <c r="AF298" s="1377" t="s">
        <v>24</v>
      </c>
      <c r="AG298" s="1377">
        <f>IF(X298&gt;=1,(AB298*12+AD298)-(X298*12+Z298)+1,"")</f>
        <v>10</v>
      </c>
      <c r="AH298" s="1379" t="s">
        <v>38</v>
      </c>
      <c r="AI298" s="1381" t="str">
        <f>IFERROR(ROUNDDOWN(ROUND(L298*V298,0)*M298,0)*AG298,"")</f>
        <v/>
      </c>
      <c r="AJ298" s="1383" t="str">
        <f>IFERROR(ROUNDDOWN(ROUND((L298*(V298-AX298)),0)*M298,0)*AG298,"")</f>
        <v/>
      </c>
      <c r="AK298" s="1385">
        <f>IFERROR(IF(OR(N298="",N299="",N301=""),0,ROUNDDOWN(ROUNDDOWN(ROUND(L298*VLOOKUP(K298,【参考】数式用!$A$5:$AB$27,MATCH("新加算Ⅳ",【参考】数式用!$B$4:$AB$4,0)+1,0),0)*M298,0)*AG298*0.5,0)),"")</f>
        <v>0</v>
      </c>
      <c r="AL298" s="1363"/>
      <c r="AM298" s="138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04"/>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2098</v>
      </c>
      <c r="BA298" s="1247" t="s">
        <v>2099</v>
      </c>
      <c r="BB298" s="1247" t="s">
        <v>2100</v>
      </c>
      <c r="BC298" s="1247" t="s">
        <v>2101</v>
      </c>
      <c r="BD298" s="1247" t="str">
        <f>IF(AND(P298&lt;&gt;"新加算Ⅰ",P298&lt;&gt;"新加算Ⅱ",P298&lt;&gt;"新加算Ⅲ",P298&lt;&gt;"新加算Ⅳ"),P298,IF(Q300&lt;&gt;"",Q300,""))</f>
        <v/>
      </c>
      <c r="BE298" s="1247"/>
      <c r="BF298" s="1247" t="str">
        <f t="shared" ref="BF298" si="225">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315"/>
      <c r="B299" s="1301"/>
      <c r="C299" s="1302"/>
      <c r="D299" s="1302"/>
      <c r="E299" s="1302"/>
      <c r="F299" s="1303"/>
      <c r="G299" s="1268"/>
      <c r="H299" s="1268"/>
      <c r="I299" s="1268"/>
      <c r="J299" s="1443"/>
      <c r="K299" s="1268"/>
      <c r="L299" s="1274"/>
      <c r="M299" s="1277"/>
      <c r="N299" s="1399" t="str">
        <f>IF('別紙様式2-2（４・５月分）'!Q228="","",'別紙様式2-2（４・５月分）'!Q228)</f>
        <v/>
      </c>
      <c r="O299" s="1420"/>
      <c r="P299" s="1426"/>
      <c r="Q299" s="1427"/>
      <c r="R299" s="1428"/>
      <c r="S299" s="1430"/>
      <c r="T299" s="1432"/>
      <c r="U299" s="1434"/>
      <c r="V299" s="1436"/>
      <c r="W299" s="1438"/>
      <c r="X299" s="1376"/>
      <c r="Y299" s="1378"/>
      <c r="Z299" s="1376"/>
      <c r="AA299" s="1378"/>
      <c r="AB299" s="1376"/>
      <c r="AC299" s="1378"/>
      <c r="AD299" s="1376"/>
      <c r="AE299" s="1378"/>
      <c r="AF299" s="1378"/>
      <c r="AG299" s="1378"/>
      <c r="AH299" s="1380"/>
      <c r="AI299" s="1382"/>
      <c r="AJ299" s="1384"/>
      <c r="AK299" s="1386"/>
      <c r="AL299" s="1364"/>
      <c r="AM299" s="1388"/>
      <c r="AN299" s="1360"/>
      <c r="AO299" s="1390"/>
      <c r="AP299" s="1394"/>
      <c r="AQ299" s="1394"/>
      <c r="AR299" s="1396"/>
      <c r="AS299" s="1348"/>
      <c r="AT299" s="1334" t="str">
        <f t="shared" si="206"/>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1"/>
      <c r="C300" s="1302"/>
      <c r="D300" s="1302"/>
      <c r="E300" s="1302"/>
      <c r="F300" s="1303"/>
      <c r="G300" s="1268"/>
      <c r="H300" s="1268"/>
      <c r="I300" s="1268"/>
      <c r="J300" s="1443"/>
      <c r="K300" s="1268"/>
      <c r="L300" s="1274"/>
      <c r="M300" s="1277"/>
      <c r="N300" s="1400"/>
      <c r="O300" s="1421"/>
      <c r="P300" s="1401" t="s">
        <v>2179</v>
      </c>
      <c r="Q300" s="1403" t="str">
        <f>IFERROR(VLOOKUP('別紙様式2-2（４・５月分）'!AR227,【参考】数式用!$AT$5:$AV$22,3,FALSE),"")</f>
        <v/>
      </c>
      <c r="R300" s="1405" t="s">
        <v>2190</v>
      </c>
      <c r="S300" s="1407" t="str">
        <f>IFERROR(VLOOKUP(K298,【参考】数式用!$A$5:$AB$27,MATCH(Q300,【参考】数式用!$B$4:$AB$4,0)+1,0),"")</f>
        <v/>
      </c>
      <c r="T300" s="1409" t="s">
        <v>217</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5" t="s">
        <v>38</v>
      </c>
      <c r="AI300" s="1367" t="str">
        <f>IFERROR(ROUNDDOWN(ROUND(L298*V300,0)*M298,0)*AG300,"")</f>
        <v/>
      </c>
      <c r="AJ300" s="1369" t="str">
        <f>IFERROR(ROUNDDOWN(ROUND((L298*(V300-AX298)),0)*M298,0)*AG300,"")</f>
        <v/>
      </c>
      <c r="AK300" s="1371">
        <f>IFERROR(IF(OR(N298="",N299="",N301=""),0,ROUNDDOWN(ROUNDDOWN(ROUND(L298*VLOOKUP(K298,【参考】数式用!$A$5:$AB$27,MATCH("新加算Ⅳ",【参考】数式用!$B$4:$AB$4,0)+1,0),0)*M298,0)*AG300*0.5,0)),"")</f>
        <v>0</v>
      </c>
      <c r="AL300" s="1361" t="str">
        <f t="shared" ref="AL300" si="226">IF(U300&lt;&gt;"","新規に適用","")</f>
        <v/>
      </c>
      <c r="AM300" s="1373">
        <f>IFERROR(IF(OR(N301="ベア加算",N301=""),0, IF(OR(U298="新加算Ⅰ",U298="新加算Ⅱ",U298="新加算Ⅲ",U298="新加算Ⅳ"),0,ROUNDDOWN(ROUND(L298*VLOOKUP(K298,【参考】数式用!$A$5:$I$27,MATCH("ベア加算",【参考】数式用!$B$4:$I$4,0)+1,0),0)*M298,0)*AG300)),"")</f>
        <v>0</v>
      </c>
      <c r="AN300" s="1345" t="str">
        <f>IF(AND(U300&lt;&gt;"",AN298=""),"新規に適用",IF(AND(U300&lt;&gt;"",AN298&lt;&gt;""),"継続で適用",""))</f>
        <v/>
      </c>
      <c r="AO300" s="1345" t="str">
        <f>IF(AND(U300&lt;&gt;"",AO298=""),"新規に適用",IF(AND(U300&lt;&gt;"",AO298&lt;&gt;""),"継続で適用",""))</f>
        <v/>
      </c>
      <c r="AP300" s="1391"/>
      <c r="AQ300" s="1345" t="str">
        <f>IF(AND(U300&lt;&gt;"",AQ298=""),"新規に適用",IF(AND(U300&lt;&gt;"",AQ298&lt;&gt;""),"継続で適用",""))</f>
        <v/>
      </c>
      <c r="AR300" s="1349" t="str">
        <f t="shared" si="223"/>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316"/>
      <c r="B301" s="1439"/>
      <c r="C301" s="1440"/>
      <c r="D301" s="1440"/>
      <c r="E301" s="1440"/>
      <c r="F301" s="1441"/>
      <c r="G301" s="1269"/>
      <c r="H301" s="1269"/>
      <c r="I301" s="1269"/>
      <c r="J301" s="1444"/>
      <c r="K301" s="1269"/>
      <c r="L301" s="1275"/>
      <c r="M301" s="1278"/>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66"/>
      <c r="AI301" s="1368"/>
      <c r="AJ301" s="1370"/>
      <c r="AK301" s="1372"/>
      <c r="AL301" s="1362"/>
      <c r="AM301" s="1374"/>
      <c r="AN301" s="1346"/>
      <c r="AO301" s="1346"/>
      <c r="AP301" s="1392"/>
      <c r="AQ301" s="1346"/>
      <c r="AR301" s="1350"/>
      <c r="AS301" s="1346"/>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314">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43" t="str">
        <f>IF(基本情報入力シート!X126="","",基本情報入力シート!X126)</f>
        <v/>
      </c>
      <c r="K302" s="1268" t="str">
        <f>IF(基本情報入力シート!Y126="","",基本情報入力シート!Y126)</f>
        <v/>
      </c>
      <c r="L302" s="1274"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2173</v>
      </c>
      <c r="U302" s="1433"/>
      <c r="V302" s="1435" t="str">
        <f>IFERROR(VLOOKUP(K302,【参考】数式用!$A$5:$AB$27,MATCH(U302,【参考】数式用!$B$4:$AB$4,0)+1,0),"")</f>
        <v/>
      </c>
      <c r="W302" s="1437" t="s">
        <v>19</v>
      </c>
      <c r="X302" s="1375">
        <v>6</v>
      </c>
      <c r="Y302" s="1377" t="s">
        <v>10</v>
      </c>
      <c r="Z302" s="1375">
        <v>6</v>
      </c>
      <c r="AA302" s="1377" t="s">
        <v>45</v>
      </c>
      <c r="AB302" s="1375">
        <v>7</v>
      </c>
      <c r="AC302" s="1377" t="s">
        <v>10</v>
      </c>
      <c r="AD302" s="1375">
        <v>3</v>
      </c>
      <c r="AE302" s="1377" t="s">
        <v>13</v>
      </c>
      <c r="AF302" s="1377" t="s">
        <v>24</v>
      </c>
      <c r="AG302" s="1377">
        <f>IF(X302&gt;=1,(AB302*12+AD302)-(X302*12+Z302)+1,"")</f>
        <v>10</v>
      </c>
      <c r="AH302" s="1379" t="s">
        <v>38</v>
      </c>
      <c r="AI302" s="1381" t="str">
        <f>IFERROR(ROUNDDOWN(ROUND(L302*V302,0)*M302,0)*AG302,"")</f>
        <v/>
      </c>
      <c r="AJ302" s="1383" t="str">
        <f>IFERROR(ROUNDDOWN(ROUND((L302*(V302-AX302)),0)*M302,0)*AG302,"")</f>
        <v/>
      </c>
      <c r="AK302" s="1385">
        <f>IFERROR(IF(OR(N302="",N303="",N305=""),0,ROUNDDOWN(ROUNDDOWN(ROUND(L302*VLOOKUP(K302,【参考】数式用!$A$5:$AB$27,MATCH("新加算Ⅳ",【参考】数式用!$B$4:$AB$4,0)+1,0),0)*M302,0)*AG302*0.5,0)),"")</f>
        <v>0</v>
      </c>
      <c r="AL302" s="1363"/>
      <c r="AM302" s="138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04"/>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2098</v>
      </c>
      <c r="BA302" s="1247" t="s">
        <v>2099</v>
      </c>
      <c r="BB302" s="1247" t="s">
        <v>2100</v>
      </c>
      <c r="BC302" s="1247" t="s">
        <v>2101</v>
      </c>
      <c r="BD302" s="1247" t="str">
        <f>IF(AND(P302&lt;&gt;"新加算Ⅰ",P302&lt;&gt;"新加算Ⅱ",P302&lt;&gt;"新加算Ⅲ",P302&lt;&gt;"新加算Ⅳ"),P302,IF(Q304&lt;&gt;"",Q304,""))</f>
        <v/>
      </c>
      <c r="BE302" s="1247"/>
      <c r="BF302" s="1247" t="str">
        <f t="shared" ref="BF302" si="228">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315"/>
      <c r="B303" s="1301"/>
      <c r="C303" s="1302"/>
      <c r="D303" s="1302"/>
      <c r="E303" s="1302"/>
      <c r="F303" s="1303"/>
      <c r="G303" s="1268"/>
      <c r="H303" s="1268"/>
      <c r="I303" s="1268"/>
      <c r="J303" s="1443"/>
      <c r="K303" s="1268"/>
      <c r="L303" s="1274"/>
      <c r="M303" s="1445"/>
      <c r="N303" s="1399" t="str">
        <f>IF('別紙様式2-2（４・５月分）'!Q231="","",'別紙様式2-2（４・５月分）'!Q231)</f>
        <v/>
      </c>
      <c r="O303" s="1420"/>
      <c r="P303" s="1426"/>
      <c r="Q303" s="1427"/>
      <c r="R303" s="1428"/>
      <c r="S303" s="1430"/>
      <c r="T303" s="1432"/>
      <c r="U303" s="1434"/>
      <c r="V303" s="1436"/>
      <c r="W303" s="1438"/>
      <c r="X303" s="1376"/>
      <c r="Y303" s="1378"/>
      <c r="Z303" s="1376"/>
      <c r="AA303" s="1378"/>
      <c r="AB303" s="1376"/>
      <c r="AC303" s="1378"/>
      <c r="AD303" s="1376"/>
      <c r="AE303" s="1378"/>
      <c r="AF303" s="1378"/>
      <c r="AG303" s="1378"/>
      <c r="AH303" s="1380"/>
      <c r="AI303" s="1382"/>
      <c r="AJ303" s="1384"/>
      <c r="AK303" s="1386"/>
      <c r="AL303" s="1364"/>
      <c r="AM303" s="1388"/>
      <c r="AN303" s="1360"/>
      <c r="AO303" s="1390"/>
      <c r="AP303" s="1394"/>
      <c r="AQ303" s="1394"/>
      <c r="AR303" s="1396"/>
      <c r="AS303" s="1348"/>
      <c r="AT303" s="1334" t="str">
        <f t="shared" si="206"/>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1"/>
      <c r="C304" s="1302"/>
      <c r="D304" s="1302"/>
      <c r="E304" s="1302"/>
      <c r="F304" s="1303"/>
      <c r="G304" s="1268"/>
      <c r="H304" s="1268"/>
      <c r="I304" s="1268"/>
      <c r="J304" s="1443"/>
      <c r="K304" s="1268"/>
      <c r="L304" s="1274"/>
      <c r="M304" s="1445"/>
      <c r="N304" s="1400"/>
      <c r="O304" s="1421"/>
      <c r="P304" s="1401" t="s">
        <v>2179</v>
      </c>
      <c r="Q304" s="1403" t="str">
        <f>IFERROR(VLOOKUP('別紙様式2-2（４・５月分）'!AR230,【参考】数式用!$AT$5:$AV$22,3,FALSE),"")</f>
        <v/>
      </c>
      <c r="R304" s="1405" t="s">
        <v>2190</v>
      </c>
      <c r="S304" s="1447" t="str">
        <f>IFERROR(VLOOKUP(K302,【参考】数式用!$A$5:$AB$27,MATCH(Q304,【参考】数式用!$B$4:$AB$4,0)+1,0),"")</f>
        <v/>
      </c>
      <c r="T304" s="1409" t="s">
        <v>217</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5" t="s">
        <v>38</v>
      </c>
      <c r="AI304" s="1367" t="str">
        <f>IFERROR(ROUNDDOWN(ROUND(L302*V304,0)*M302,0)*AG304,"")</f>
        <v/>
      </c>
      <c r="AJ304" s="1369" t="str">
        <f>IFERROR(ROUNDDOWN(ROUND((L302*(V304-AX302)),0)*M302,0)*AG304,"")</f>
        <v/>
      </c>
      <c r="AK304" s="1371">
        <f>IFERROR(IF(OR(N302="",N303="",N305=""),0,ROUNDDOWN(ROUNDDOWN(ROUND(L302*VLOOKUP(K302,【参考】数式用!$A$5:$AB$27,MATCH("新加算Ⅳ",【参考】数式用!$B$4:$AB$4,0)+1,0),0)*M302,0)*AG304*0.5,0)),"")</f>
        <v>0</v>
      </c>
      <c r="AL304" s="1361" t="str">
        <f t="shared" ref="AL304" si="229">IF(U304&lt;&gt;"","新規に適用","")</f>
        <v/>
      </c>
      <c r="AM304" s="1373">
        <f>IFERROR(IF(OR(N305="ベア加算",N305=""),0, IF(OR(U302="新加算Ⅰ",U302="新加算Ⅱ",U302="新加算Ⅲ",U302="新加算Ⅳ"),0,ROUNDDOWN(ROUND(L302*VLOOKUP(K302,【参考】数式用!$A$5:$I$27,MATCH("ベア加算",【参考】数式用!$B$4:$I$4,0)+1,0),0)*M302,0)*AG304)),"")</f>
        <v>0</v>
      </c>
      <c r="AN304" s="1345" t="str">
        <f>IF(AND(U304&lt;&gt;"",AN302=""),"新規に適用",IF(AND(U304&lt;&gt;"",AN302&lt;&gt;""),"継続で適用",""))</f>
        <v/>
      </c>
      <c r="AO304" s="1345" t="str">
        <f>IF(AND(U304&lt;&gt;"",AO302=""),"新規に適用",IF(AND(U304&lt;&gt;"",AO302&lt;&gt;""),"継続で適用",""))</f>
        <v/>
      </c>
      <c r="AP304" s="1391"/>
      <c r="AQ304" s="1345" t="str">
        <f>IF(AND(U304&lt;&gt;"",AQ302=""),"新規に適用",IF(AND(U304&lt;&gt;"",AQ302&lt;&gt;""),"継続で適用",""))</f>
        <v/>
      </c>
      <c r="AR304" s="1349" t="str">
        <f t="shared" si="223"/>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316"/>
      <c r="B305" s="1439"/>
      <c r="C305" s="1440"/>
      <c r="D305" s="1440"/>
      <c r="E305" s="1440"/>
      <c r="F305" s="1441"/>
      <c r="G305" s="1269"/>
      <c r="H305" s="1269"/>
      <c r="I305" s="1269"/>
      <c r="J305" s="1444"/>
      <c r="K305" s="1269"/>
      <c r="L305" s="1275"/>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66"/>
      <c r="AI305" s="1368"/>
      <c r="AJ305" s="1370"/>
      <c r="AK305" s="1372"/>
      <c r="AL305" s="1362"/>
      <c r="AM305" s="1374"/>
      <c r="AN305" s="1346"/>
      <c r="AO305" s="1346"/>
      <c r="AP305" s="1392"/>
      <c r="AQ305" s="1346"/>
      <c r="AR305" s="1350"/>
      <c r="AS305" s="1346"/>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43" t="str">
        <f>IF(基本情報入力シート!X127="","",基本情報入力シート!X127)</f>
        <v/>
      </c>
      <c r="K306" s="1268" t="str">
        <f>IF(基本情報入力シート!Y127="","",基本情報入力シート!Y127)</f>
        <v/>
      </c>
      <c r="L306" s="1274"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2173</v>
      </c>
      <c r="U306" s="1433"/>
      <c r="V306" s="1435" t="str">
        <f>IFERROR(VLOOKUP(K306,【参考】数式用!$A$5:$AB$27,MATCH(U306,【参考】数式用!$B$4:$AB$4,0)+1,0),"")</f>
        <v/>
      </c>
      <c r="W306" s="1437" t="s">
        <v>19</v>
      </c>
      <c r="X306" s="1375">
        <v>6</v>
      </c>
      <c r="Y306" s="1377" t="s">
        <v>10</v>
      </c>
      <c r="Z306" s="1375">
        <v>6</v>
      </c>
      <c r="AA306" s="1377" t="s">
        <v>45</v>
      </c>
      <c r="AB306" s="1375">
        <v>7</v>
      </c>
      <c r="AC306" s="1377" t="s">
        <v>10</v>
      </c>
      <c r="AD306" s="1375">
        <v>3</v>
      </c>
      <c r="AE306" s="1377" t="s">
        <v>13</v>
      </c>
      <c r="AF306" s="1377" t="s">
        <v>24</v>
      </c>
      <c r="AG306" s="1377">
        <f>IF(X306&gt;=1,(AB306*12+AD306)-(X306*12+Z306)+1,"")</f>
        <v>10</v>
      </c>
      <c r="AH306" s="1379" t="s">
        <v>38</v>
      </c>
      <c r="AI306" s="1381" t="str">
        <f>IFERROR(ROUNDDOWN(ROUND(L306*V306,0)*M306,0)*AG306,"")</f>
        <v/>
      </c>
      <c r="AJ306" s="1383" t="str">
        <f>IFERROR(ROUNDDOWN(ROUND((L306*(V306-AX306)),0)*M306,0)*AG306,"")</f>
        <v/>
      </c>
      <c r="AK306" s="1385">
        <f>IFERROR(IF(OR(N306="",N307="",N309=""),0,ROUNDDOWN(ROUNDDOWN(ROUND(L306*VLOOKUP(K306,【参考】数式用!$A$5:$AB$27,MATCH("新加算Ⅳ",【参考】数式用!$B$4:$AB$4,0)+1,0),0)*M306,0)*AG306*0.5,0)),"")</f>
        <v>0</v>
      </c>
      <c r="AL306" s="1363"/>
      <c r="AM306" s="138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04"/>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2098</v>
      </c>
      <c r="BA306" s="1247" t="s">
        <v>2099</v>
      </c>
      <c r="BB306" s="1247" t="s">
        <v>2100</v>
      </c>
      <c r="BC306" s="1247" t="s">
        <v>2101</v>
      </c>
      <c r="BD306" s="1247" t="str">
        <f>IF(AND(P306&lt;&gt;"新加算Ⅰ",P306&lt;&gt;"新加算Ⅱ",P306&lt;&gt;"新加算Ⅲ",P306&lt;&gt;"新加算Ⅳ"),P306,IF(Q308&lt;&gt;"",Q308,""))</f>
        <v/>
      </c>
      <c r="BE306" s="1247"/>
      <c r="BF306" s="1247" t="str">
        <f t="shared" ref="BF306" si="231">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315"/>
      <c r="B307" s="1301"/>
      <c r="C307" s="1302"/>
      <c r="D307" s="1302"/>
      <c r="E307" s="1302"/>
      <c r="F307" s="1303"/>
      <c r="G307" s="1268"/>
      <c r="H307" s="1268"/>
      <c r="I307" s="1268"/>
      <c r="J307" s="1443"/>
      <c r="K307" s="1268"/>
      <c r="L307" s="1274"/>
      <c r="M307" s="1445"/>
      <c r="N307" s="1399" t="str">
        <f>IF('別紙様式2-2（４・５月分）'!Q234="","",'別紙様式2-2（４・５月分）'!Q234)</f>
        <v/>
      </c>
      <c r="O307" s="1420"/>
      <c r="P307" s="1426"/>
      <c r="Q307" s="1427"/>
      <c r="R307" s="1428"/>
      <c r="S307" s="1430"/>
      <c r="T307" s="1432"/>
      <c r="U307" s="1434"/>
      <c r="V307" s="1436"/>
      <c r="W307" s="1438"/>
      <c r="X307" s="1376"/>
      <c r="Y307" s="1378"/>
      <c r="Z307" s="1376"/>
      <c r="AA307" s="1378"/>
      <c r="AB307" s="1376"/>
      <c r="AC307" s="1378"/>
      <c r="AD307" s="1376"/>
      <c r="AE307" s="1378"/>
      <c r="AF307" s="1378"/>
      <c r="AG307" s="1378"/>
      <c r="AH307" s="1380"/>
      <c r="AI307" s="1382"/>
      <c r="AJ307" s="1384"/>
      <c r="AK307" s="1386"/>
      <c r="AL307" s="1364"/>
      <c r="AM307" s="1388"/>
      <c r="AN307" s="1360"/>
      <c r="AO307" s="1390"/>
      <c r="AP307" s="1394"/>
      <c r="AQ307" s="1394"/>
      <c r="AR307" s="1396"/>
      <c r="AS307" s="1348"/>
      <c r="AT307" s="1334" t="str">
        <f t="shared" si="206"/>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1"/>
      <c r="C308" s="1302"/>
      <c r="D308" s="1302"/>
      <c r="E308" s="1302"/>
      <c r="F308" s="1303"/>
      <c r="G308" s="1268"/>
      <c r="H308" s="1268"/>
      <c r="I308" s="1268"/>
      <c r="J308" s="1443"/>
      <c r="K308" s="1268"/>
      <c r="L308" s="1274"/>
      <c r="M308" s="1445"/>
      <c r="N308" s="1400"/>
      <c r="O308" s="1421"/>
      <c r="P308" s="1401" t="s">
        <v>2179</v>
      </c>
      <c r="Q308" s="1403" t="str">
        <f>IFERROR(VLOOKUP('別紙様式2-2（４・５月分）'!AR233,【参考】数式用!$AT$5:$AV$22,3,FALSE),"")</f>
        <v/>
      </c>
      <c r="R308" s="1405" t="s">
        <v>2190</v>
      </c>
      <c r="S308" s="1447" t="str">
        <f>IFERROR(VLOOKUP(K306,【参考】数式用!$A$5:$AB$27,MATCH(Q308,【参考】数式用!$B$4:$AB$4,0)+1,0),"")</f>
        <v/>
      </c>
      <c r="T308" s="1409" t="s">
        <v>217</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5" t="s">
        <v>38</v>
      </c>
      <c r="AI308" s="1367" t="str">
        <f>IFERROR(ROUNDDOWN(ROUND(L306*V308,0)*M306,0)*AG308,"")</f>
        <v/>
      </c>
      <c r="AJ308" s="1369" t="str">
        <f>IFERROR(ROUNDDOWN(ROUND((L306*(V308-AX306)),0)*M306,0)*AG308,"")</f>
        <v/>
      </c>
      <c r="AK308" s="1371">
        <f>IFERROR(IF(OR(N306="",N307="",N309=""),0,ROUNDDOWN(ROUNDDOWN(ROUND(L306*VLOOKUP(K306,【参考】数式用!$A$5:$AB$27,MATCH("新加算Ⅳ",【参考】数式用!$B$4:$AB$4,0)+1,0),0)*M306,0)*AG308*0.5,0)),"")</f>
        <v>0</v>
      </c>
      <c r="AL308" s="1361" t="str">
        <f t="shared" ref="AL308" si="232">IF(U308&lt;&gt;"","新規に適用","")</f>
        <v/>
      </c>
      <c r="AM308" s="1373">
        <f>IFERROR(IF(OR(N309="ベア加算",N309=""),0, IF(OR(U306="新加算Ⅰ",U306="新加算Ⅱ",U306="新加算Ⅲ",U306="新加算Ⅳ"),0,ROUNDDOWN(ROUND(L306*VLOOKUP(K306,【参考】数式用!$A$5:$I$27,MATCH("ベア加算",【参考】数式用!$B$4:$I$4,0)+1,0),0)*M306,0)*AG308)),"")</f>
        <v>0</v>
      </c>
      <c r="AN308" s="1345" t="str">
        <f>IF(AND(U308&lt;&gt;"",AN306=""),"新規に適用",IF(AND(U308&lt;&gt;"",AN306&lt;&gt;""),"継続で適用",""))</f>
        <v/>
      </c>
      <c r="AO308" s="1345" t="str">
        <f>IF(AND(U308&lt;&gt;"",AO306=""),"新規に適用",IF(AND(U308&lt;&gt;"",AO306&lt;&gt;""),"継続で適用",""))</f>
        <v/>
      </c>
      <c r="AP308" s="1391"/>
      <c r="AQ308" s="1345" t="str">
        <f>IF(AND(U308&lt;&gt;"",AQ306=""),"新規に適用",IF(AND(U308&lt;&gt;"",AQ306&lt;&gt;""),"継続で適用",""))</f>
        <v/>
      </c>
      <c r="AR308" s="1349" t="str">
        <f t="shared" si="223"/>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316"/>
      <c r="B309" s="1439"/>
      <c r="C309" s="1440"/>
      <c r="D309" s="1440"/>
      <c r="E309" s="1440"/>
      <c r="F309" s="1441"/>
      <c r="G309" s="1269"/>
      <c r="H309" s="1269"/>
      <c r="I309" s="1269"/>
      <c r="J309" s="1444"/>
      <c r="K309" s="1269"/>
      <c r="L309" s="1275"/>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66"/>
      <c r="AI309" s="1368"/>
      <c r="AJ309" s="1370"/>
      <c r="AK309" s="1372"/>
      <c r="AL309" s="1362"/>
      <c r="AM309" s="1374"/>
      <c r="AN309" s="1346"/>
      <c r="AO309" s="1346"/>
      <c r="AP309" s="1392"/>
      <c r="AQ309" s="1346"/>
      <c r="AR309" s="1350"/>
      <c r="AS309" s="1346"/>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314">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4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2173</v>
      </c>
      <c r="U310" s="1433"/>
      <c r="V310" s="1435" t="str">
        <f>IFERROR(VLOOKUP(K310,【参考】数式用!$A$5:$AB$27,MATCH(U310,【参考】数式用!$B$4:$AB$4,0)+1,0),"")</f>
        <v/>
      </c>
      <c r="W310" s="1437" t="s">
        <v>19</v>
      </c>
      <c r="X310" s="1375">
        <v>6</v>
      </c>
      <c r="Y310" s="1377" t="s">
        <v>10</v>
      </c>
      <c r="Z310" s="1375">
        <v>6</v>
      </c>
      <c r="AA310" s="1377" t="s">
        <v>45</v>
      </c>
      <c r="AB310" s="1375">
        <v>7</v>
      </c>
      <c r="AC310" s="1377" t="s">
        <v>10</v>
      </c>
      <c r="AD310" s="1375">
        <v>3</v>
      </c>
      <c r="AE310" s="1377" t="s">
        <v>13</v>
      </c>
      <c r="AF310" s="1377" t="s">
        <v>24</v>
      </c>
      <c r="AG310" s="1377">
        <f>IF(X310&gt;=1,(AB310*12+AD310)-(X310*12+Z310)+1,"")</f>
        <v>10</v>
      </c>
      <c r="AH310" s="1379" t="s">
        <v>38</v>
      </c>
      <c r="AI310" s="1381" t="str">
        <f>IFERROR(ROUNDDOWN(ROUND(L310*V310,0)*M310,0)*AG310,"")</f>
        <v/>
      </c>
      <c r="AJ310" s="1383" t="str">
        <f>IFERROR(ROUNDDOWN(ROUND((L310*(V310-AX310)),0)*M310,0)*AG310,"")</f>
        <v/>
      </c>
      <c r="AK310" s="1385">
        <f>IFERROR(IF(OR(N310="",N311="",N313=""),0,ROUNDDOWN(ROUNDDOWN(ROUND(L310*VLOOKUP(K310,【参考】数式用!$A$5:$AB$27,MATCH("新加算Ⅳ",【参考】数式用!$B$4:$AB$4,0)+1,0),0)*M310,0)*AG310*0.5,0)),"")</f>
        <v>0</v>
      </c>
      <c r="AL310" s="1363"/>
      <c r="AM310" s="138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04"/>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2098</v>
      </c>
      <c r="BA310" s="1247" t="s">
        <v>2099</v>
      </c>
      <c r="BB310" s="1247" t="s">
        <v>2100</v>
      </c>
      <c r="BC310" s="1247" t="s">
        <v>2101</v>
      </c>
      <c r="BD310" s="1247" t="str">
        <f>IF(AND(P310&lt;&gt;"新加算Ⅰ",P310&lt;&gt;"新加算Ⅱ",P310&lt;&gt;"新加算Ⅲ",P310&lt;&gt;"新加算Ⅳ"),P310,IF(Q312&lt;&gt;"",Q312,""))</f>
        <v/>
      </c>
      <c r="BE310" s="1247"/>
      <c r="BF310" s="1247" t="str">
        <f t="shared" ref="BF310" si="234">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315"/>
      <c r="B311" s="1301"/>
      <c r="C311" s="1302"/>
      <c r="D311" s="1302"/>
      <c r="E311" s="1302"/>
      <c r="F311" s="1303"/>
      <c r="G311" s="1268"/>
      <c r="H311" s="1268"/>
      <c r="I311" s="1268"/>
      <c r="J311" s="1443"/>
      <c r="K311" s="1268"/>
      <c r="L311" s="1274"/>
      <c r="M311" s="1277"/>
      <c r="N311" s="1399" t="str">
        <f>IF('別紙様式2-2（４・５月分）'!Q237="","",'別紙様式2-2（４・５月分）'!Q237)</f>
        <v/>
      </c>
      <c r="O311" s="1420"/>
      <c r="P311" s="1426"/>
      <c r="Q311" s="1427"/>
      <c r="R311" s="1428"/>
      <c r="S311" s="1430"/>
      <c r="T311" s="1432"/>
      <c r="U311" s="1434"/>
      <c r="V311" s="1436"/>
      <c r="W311" s="1438"/>
      <c r="X311" s="1376"/>
      <c r="Y311" s="1378"/>
      <c r="Z311" s="1376"/>
      <c r="AA311" s="1378"/>
      <c r="AB311" s="1376"/>
      <c r="AC311" s="1378"/>
      <c r="AD311" s="1376"/>
      <c r="AE311" s="1378"/>
      <c r="AF311" s="1378"/>
      <c r="AG311" s="1378"/>
      <c r="AH311" s="1380"/>
      <c r="AI311" s="1382"/>
      <c r="AJ311" s="1384"/>
      <c r="AK311" s="1386"/>
      <c r="AL311" s="1364"/>
      <c r="AM311" s="1388"/>
      <c r="AN311" s="1360"/>
      <c r="AO311" s="1390"/>
      <c r="AP311" s="1394"/>
      <c r="AQ311" s="1394"/>
      <c r="AR311" s="1396"/>
      <c r="AS311" s="1348"/>
      <c r="AT311" s="1334" t="str">
        <f t="shared" si="206"/>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1"/>
      <c r="C312" s="1302"/>
      <c r="D312" s="1302"/>
      <c r="E312" s="1302"/>
      <c r="F312" s="1303"/>
      <c r="G312" s="1268"/>
      <c r="H312" s="1268"/>
      <c r="I312" s="1268"/>
      <c r="J312" s="1443"/>
      <c r="K312" s="1268"/>
      <c r="L312" s="1274"/>
      <c r="M312" s="1277"/>
      <c r="N312" s="1400"/>
      <c r="O312" s="1421"/>
      <c r="P312" s="1401" t="s">
        <v>2179</v>
      </c>
      <c r="Q312" s="1403" t="str">
        <f>IFERROR(VLOOKUP('別紙様式2-2（４・５月分）'!AR236,【参考】数式用!$AT$5:$AV$22,3,FALSE),"")</f>
        <v/>
      </c>
      <c r="R312" s="1405" t="s">
        <v>2190</v>
      </c>
      <c r="S312" s="1407" t="str">
        <f>IFERROR(VLOOKUP(K310,【参考】数式用!$A$5:$AB$27,MATCH(Q312,【参考】数式用!$B$4:$AB$4,0)+1,0),"")</f>
        <v/>
      </c>
      <c r="T312" s="1409" t="s">
        <v>217</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5" t="s">
        <v>38</v>
      </c>
      <c r="AI312" s="1367" t="str">
        <f>IFERROR(ROUNDDOWN(ROUND(L310*V312,0)*M310,0)*AG312,"")</f>
        <v/>
      </c>
      <c r="AJ312" s="1369" t="str">
        <f>IFERROR(ROUNDDOWN(ROUND((L310*(V312-AX310)),0)*M310,0)*AG312,"")</f>
        <v/>
      </c>
      <c r="AK312" s="1371">
        <f>IFERROR(IF(OR(N310="",N311="",N313=""),0,ROUNDDOWN(ROUNDDOWN(ROUND(L310*VLOOKUP(K310,【参考】数式用!$A$5:$AB$27,MATCH("新加算Ⅳ",【参考】数式用!$B$4:$AB$4,0)+1,0),0)*M310,0)*AG312*0.5,0)),"")</f>
        <v>0</v>
      </c>
      <c r="AL312" s="1361" t="str">
        <f t="shared" ref="AL312" si="235">IF(U312&lt;&gt;"","新規に適用","")</f>
        <v/>
      </c>
      <c r="AM312" s="1373">
        <f>IFERROR(IF(OR(N313="ベア加算",N313=""),0, IF(OR(U310="新加算Ⅰ",U310="新加算Ⅱ",U310="新加算Ⅲ",U310="新加算Ⅳ"),0,ROUNDDOWN(ROUND(L310*VLOOKUP(K310,【参考】数式用!$A$5:$I$27,MATCH("ベア加算",【参考】数式用!$B$4:$I$4,0)+1,0),0)*M310,0)*AG312)),"")</f>
        <v>0</v>
      </c>
      <c r="AN312" s="1345" t="str">
        <f>IF(AND(U312&lt;&gt;"",AN310=""),"新規に適用",IF(AND(U312&lt;&gt;"",AN310&lt;&gt;""),"継続で適用",""))</f>
        <v/>
      </c>
      <c r="AO312" s="1345" t="str">
        <f>IF(AND(U312&lt;&gt;"",AO310=""),"新規に適用",IF(AND(U312&lt;&gt;"",AO310&lt;&gt;""),"継続で適用",""))</f>
        <v/>
      </c>
      <c r="AP312" s="1391"/>
      <c r="AQ312" s="1345" t="str">
        <f>IF(AND(U312&lt;&gt;"",AQ310=""),"新規に適用",IF(AND(U312&lt;&gt;"",AQ310&lt;&gt;""),"継続で適用",""))</f>
        <v/>
      </c>
      <c r="AR312" s="1349" t="str">
        <f t="shared" si="223"/>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316"/>
      <c r="B313" s="1439"/>
      <c r="C313" s="1440"/>
      <c r="D313" s="1440"/>
      <c r="E313" s="1440"/>
      <c r="F313" s="1441"/>
      <c r="G313" s="1269"/>
      <c r="H313" s="1269"/>
      <c r="I313" s="1269"/>
      <c r="J313" s="1444"/>
      <c r="K313" s="1269"/>
      <c r="L313" s="1275"/>
      <c r="M313" s="1278"/>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66"/>
      <c r="AI313" s="1368"/>
      <c r="AJ313" s="1370"/>
      <c r="AK313" s="1372"/>
      <c r="AL313" s="1362"/>
      <c r="AM313" s="1374"/>
      <c r="AN313" s="1346"/>
      <c r="AO313" s="1346"/>
      <c r="AP313" s="1392"/>
      <c r="AQ313" s="1346"/>
      <c r="AR313" s="1350"/>
      <c r="AS313" s="1346"/>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43" t="str">
        <f>IF(基本情報入力シート!X129="","",基本情報入力シート!X129)</f>
        <v/>
      </c>
      <c r="K314" s="1268" t="str">
        <f>IF(基本情報入力シート!Y129="","",基本情報入力シート!Y129)</f>
        <v/>
      </c>
      <c r="L314" s="1274"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2173</v>
      </c>
      <c r="U314" s="1433"/>
      <c r="V314" s="1435" t="str">
        <f>IFERROR(VLOOKUP(K314,【参考】数式用!$A$5:$AB$27,MATCH(U314,【参考】数式用!$B$4:$AB$4,0)+1,0),"")</f>
        <v/>
      </c>
      <c r="W314" s="1437" t="s">
        <v>19</v>
      </c>
      <c r="X314" s="1375">
        <v>6</v>
      </c>
      <c r="Y314" s="1377" t="s">
        <v>10</v>
      </c>
      <c r="Z314" s="1375">
        <v>6</v>
      </c>
      <c r="AA314" s="1377" t="s">
        <v>45</v>
      </c>
      <c r="AB314" s="1375">
        <v>7</v>
      </c>
      <c r="AC314" s="1377" t="s">
        <v>10</v>
      </c>
      <c r="AD314" s="1375">
        <v>3</v>
      </c>
      <c r="AE314" s="1377" t="s">
        <v>13</v>
      </c>
      <c r="AF314" s="1377" t="s">
        <v>24</v>
      </c>
      <c r="AG314" s="1377">
        <f>IF(X314&gt;=1,(AB314*12+AD314)-(X314*12+Z314)+1,"")</f>
        <v>10</v>
      </c>
      <c r="AH314" s="1379" t="s">
        <v>38</v>
      </c>
      <c r="AI314" s="1381" t="str">
        <f>IFERROR(ROUNDDOWN(ROUND(L314*V314,0)*M314,0)*AG314,"")</f>
        <v/>
      </c>
      <c r="AJ314" s="1383" t="str">
        <f>IFERROR(ROUNDDOWN(ROUND((L314*(V314-AX314)),0)*M314,0)*AG314,"")</f>
        <v/>
      </c>
      <c r="AK314" s="1385">
        <f>IFERROR(IF(OR(N314="",N315="",N317=""),0,ROUNDDOWN(ROUNDDOWN(ROUND(L314*VLOOKUP(K314,【参考】数式用!$A$5:$AB$27,MATCH("新加算Ⅳ",【参考】数式用!$B$4:$AB$4,0)+1,0),0)*M314,0)*AG314*0.5,0)),"")</f>
        <v>0</v>
      </c>
      <c r="AL314" s="1363"/>
      <c r="AM314" s="138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04"/>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2098</v>
      </c>
      <c r="BA314" s="1247" t="s">
        <v>2099</v>
      </c>
      <c r="BB314" s="1247" t="s">
        <v>2100</v>
      </c>
      <c r="BC314" s="1247" t="s">
        <v>2101</v>
      </c>
      <c r="BD314" s="1247" t="str">
        <f>IF(AND(P314&lt;&gt;"新加算Ⅰ",P314&lt;&gt;"新加算Ⅱ",P314&lt;&gt;"新加算Ⅲ",P314&lt;&gt;"新加算Ⅳ"),P314,IF(Q316&lt;&gt;"",Q316,""))</f>
        <v/>
      </c>
      <c r="BE314" s="1247"/>
      <c r="BF314" s="1247" t="str">
        <f t="shared" ref="BF314" si="237">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315"/>
      <c r="B315" s="1301"/>
      <c r="C315" s="1302"/>
      <c r="D315" s="1302"/>
      <c r="E315" s="1302"/>
      <c r="F315" s="1303"/>
      <c r="G315" s="1268"/>
      <c r="H315" s="1268"/>
      <c r="I315" s="1268"/>
      <c r="J315" s="1443"/>
      <c r="K315" s="1268"/>
      <c r="L315" s="1274"/>
      <c r="M315" s="1445"/>
      <c r="N315" s="1399" t="str">
        <f>IF('別紙様式2-2（４・５月分）'!Q240="","",'別紙様式2-2（４・５月分）'!Q240)</f>
        <v/>
      </c>
      <c r="O315" s="1420"/>
      <c r="P315" s="1426"/>
      <c r="Q315" s="1427"/>
      <c r="R315" s="1428"/>
      <c r="S315" s="1430"/>
      <c r="T315" s="1432"/>
      <c r="U315" s="1434"/>
      <c r="V315" s="1436"/>
      <c r="W315" s="1438"/>
      <c r="X315" s="1376"/>
      <c r="Y315" s="1378"/>
      <c r="Z315" s="1376"/>
      <c r="AA315" s="1378"/>
      <c r="AB315" s="1376"/>
      <c r="AC315" s="1378"/>
      <c r="AD315" s="1376"/>
      <c r="AE315" s="1378"/>
      <c r="AF315" s="1378"/>
      <c r="AG315" s="1378"/>
      <c r="AH315" s="1380"/>
      <c r="AI315" s="1382"/>
      <c r="AJ315" s="1384"/>
      <c r="AK315" s="1386"/>
      <c r="AL315" s="1364"/>
      <c r="AM315" s="1388"/>
      <c r="AN315" s="1360"/>
      <c r="AO315" s="1390"/>
      <c r="AP315" s="1394"/>
      <c r="AQ315" s="1394"/>
      <c r="AR315" s="1396"/>
      <c r="AS315" s="1348"/>
      <c r="AT315" s="1334" t="str">
        <f t="shared" si="206"/>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1"/>
      <c r="C316" s="1302"/>
      <c r="D316" s="1302"/>
      <c r="E316" s="1302"/>
      <c r="F316" s="1303"/>
      <c r="G316" s="1268"/>
      <c r="H316" s="1268"/>
      <c r="I316" s="1268"/>
      <c r="J316" s="1443"/>
      <c r="K316" s="1268"/>
      <c r="L316" s="1274"/>
      <c r="M316" s="1445"/>
      <c r="N316" s="1400"/>
      <c r="O316" s="1421"/>
      <c r="P316" s="1401" t="s">
        <v>2179</v>
      </c>
      <c r="Q316" s="1403" t="str">
        <f>IFERROR(VLOOKUP('別紙様式2-2（４・５月分）'!AR239,【参考】数式用!$AT$5:$AV$22,3,FALSE),"")</f>
        <v/>
      </c>
      <c r="R316" s="1405" t="s">
        <v>2190</v>
      </c>
      <c r="S316" s="1447" t="str">
        <f>IFERROR(VLOOKUP(K314,【参考】数式用!$A$5:$AB$27,MATCH(Q316,【参考】数式用!$B$4:$AB$4,0)+1,0),"")</f>
        <v/>
      </c>
      <c r="T316" s="1409" t="s">
        <v>217</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5" t="s">
        <v>38</v>
      </c>
      <c r="AI316" s="1367" t="str">
        <f>IFERROR(ROUNDDOWN(ROUND(L314*V316,0)*M314,0)*AG316,"")</f>
        <v/>
      </c>
      <c r="AJ316" s="1369" t="str">
        <f>IFERROR(ROUNDDOWN(ROUND((L314*(V316-AX314)),0)*M314,0)*AG316,"")</f>
        <v/>
      </c>
      <c r="AK316" s="1371">
        <f>IFERROR(IF(OR(N314="",N315="",N317=""),0,ROUNDDOWN(ROUNDDOWN(ROUND(L314*VLOOKUP(K314,【参考】数式用!$A$5:$AB$27,MATCH("新加算Ⅳ",【参考】数式用!$B$4:$AB$4,0)+1,0),0)*M314,0)*AG316*0.5,0)),"")</f>
        <v>0</v>
      </c>
      <c r="AL316" s="1361" t="str">
        <f t="shared" ref="AL316" si="238">IF(U316&lt;&gt;"","新規に適用","")</f>
        <v/>
      </c>
      <c r="AM316" s="1373">
        <f>IFERROR(IF(OR(N317="ベア加算",N317=""),0, IF(OR(U314="新加算Ⅰ",U314="新加算Ⅱ",U314="新加算Ⅲ",U314="新加算Ⅳ"),0,ROUNDDOWN(ROUND(L314*VLOOKUP(K314,【参考】数式用!$A$5:$I$27,MATCH("ベア加算",【参考】数式用!$B$4:$I$4,0)+1,0),0)*M314,0)*AG316)),"")</f>
        <v>0</v>
      </c>
      <c r="AN316" s="1345" t="str">
        <f>IF(AND(U316&lt;&gt;"",AN314=""),"新規に適用",IF(AND(U316&lt;&gt;"",AN314&lt;&gt;""),"継続で適用",""))</f>
        <v/>
      </c>
      <c r="AO316" s="1345" t="str">
        <f>IF(AND(U316&lt;&gt;"",AO314=""),"新規に適用",IF(AND(U316&lt;&gt;"",AO314&lt;&gt;""),"継続で適用",""))</f>
        <v/>
      </c>
      <c r="AP316" s="1391"/>
      <c r="AQ316" s="1345" t="str">
        <f>IF(AND(U316&lt;&gt;"",AQ314=""),"新規に適用",IF(AND(U316&lt;&gt;"",AQ314&lt;&gt;""),"継続で適用",""))</f>
        <v/>
      </c>
      <c r="AR316" s="1349" t="str">
        <f t="shared" si="223"/>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316"/>
      <c r="B317" s="1439"/>
      <c r="C317" s="1440"/>
      <c r="D317" s="1440"/>
      <c r="E317" s="1440"/>
      <c r="F317" s="1441"/>
      <c r="G317" s="1269"/>
      <c r="H317" s="1269"/>
      <c r="I317" s="1269"/>
      <c r="J317" s="1444"/>
      <c r="K317" s="1269"/>
      <c r="L317" s="1275"/>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66"/>
      <c r="AI317" s="1368"/>
      <c r="AJ317" s="1370"/>
      <c r="AK317" s="1372"/>
      <c r="AL317" s="1362"/>
      <c r="AM317" s="1374"/>
      <c r="AN317" s="1346"/>
      <c r="AO317" s="1346"/>
      <c r="AP317" s="1392"/>
      <c r="AQ317" s="1346"/>
      <c r="AR317" s="1350"/>
      <c r="AS317" s="1346"/>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314">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4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2173</v>
      </c>
      <c r="U318" s="1433"/>
      <c r="V318" s="1435" t="str">
        <f>IFERROR(VLOOKUP(K318,【参考】数式用!$A$5:$AB$27,MATCH(U318,【参考】数式用!$B$4:$AB$4,0)+1,0),"")</f>
        <v/>
      </c>
      <c r="W318" s="1437" t="s">
        <v>19</v>
      </c>
      <c r="X318" s="1375">
        <v>6</v>
      </c>
      <c r="Y318" s="1377" t="s">
        <v>10</v>
      </c>
      <c r="Z318" s="1375">
        <v>6</v>
      </c>
      <c r="AA318" s="1377" t="s">
        <v>45</v>
      </c>
      <c r="AB318" s="1375">
        <v>7</v>
      </c>
      <c r="AC318" s="1377" t="s">
        <v>10</v>
      </c>
      <c r="AD318" s="1375">
        <v>3</v>
      </c>
      <c r="AE318" s="1377" t="s">
        <v>13</v>
      </c>
      <c r="AF318" s="1377" t="s">
        <v>24</v>
      </c>
      <c r="AG318" s="1377">
        <f>IF(X318&gt;=1,(AB318*12+AD318)-(X318*12+Z318)+1,"")</f>
        <v>10</v>
      </c>
      <c r="AH318" s="1379" t="s">
        <v>38</v>
      </c>
      <c r="AI318" s="1381" t="str">
        <f>IFERROR(ROUNDDOWN(ROUND(L318*V318,0)*M318,0)*AG318,"")</f>
        <v/>
      </c>
      <c r="AJ318" s="1383" t="str">
        <f>IFERROR(ROUNDDOWN(ROUND((L318*(V318-AX318)),0)*M318,0)*AG318,"")</f>
        <v/>
      </c>
      <c r="AK318" s="1385">
        <f>IFERROR(IF(OR(N318="",N319="",N321=""),0,ROUNDDOWN(ROUNDDOWN(ROUND(L318*VLOOKUP(K318,【参考】数式用!$A$5:$AB$27,MATCH("新加算Ⅳ",【参考】数式用!$B$4:$AB$4,0)+1,0),0)*M318,0)*AG318*0.5,0)),"")</f>
        <v>0</v>
      </c>
      <c r="AL318" s="1363"/>
      <c r="AM318" s="138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04"/>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2098</v>
      </c>
      <c r="BA318" s="1247" t="s">
        <v>2099</v>
      </c>
      <c r="BB318" s="1247" t="s">
        <v>2100</v>
      </c>
      <c r="BC318" s="1247" t="s">
        <v>2101</v>
      </c>
      <c r="BD318" s="1247" t="str">
        <f>IF(AND(P318&lt;&gt;"新加算Ⅰ",P318&lt;&gt;"新加算Ⅱ",P318&lt;&gt;"新加算Ⅲ",P318&lt;&gt;"新加算Ⅳ"),P318,IF(Q320&lt;&gt;"",Q320,""))</f>
        <v/>
      </c>
      <c r="BE318" s="1247"/>
      <c r="BF318" s="1247" t="str">
        <f t="shared" ref="BF318" si="240">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315"/>
      <c r="B319" s="1301"/>
      <c r="C319" s="1302"/>
      <c r="D319" s="1302"/>
      <c r="E319" s="1302"/>
      <c r="F319" s="1303"/>
      <c r="G319" s="1268"/>
      <c r="H319" s="1268"/>
      <c r="I319" s="1268"/>
      <c r="J319" s="1443"/>
      <c r="K319" s="1268"/>
      <c r="L319" s="1274"/>
      <c r="M319" s="1277"/>
      <c r="N319" s="1399" t="str">
        <f>IF('別紙様式2-2（４・５月分）'!Q243="","",'別紙様式2-2（４・５月分）'!Q243)</f>
        <v/>
      </c>
      <c r="O319" s="1420"/>
      <c r="P319" s="1426"/>
      <c r="Q319" s="1427"/>
      <c r="R319" s="1428"/>
      <c r="S319" s="1430"/>
      <c r="T319" s="1432"/>
      <c r="U319" s="1434"/>
      <c r="V319" s="1436"/>
      <c r="W319" s="1438"/>
      <c r="X319" s="1376"/>
      <c r="Y319" s="1378"/>
      <c r="Z319" s="1376"/>
      <c r="AA319" s="1378"/>
      <c r="AB319" s="1376"/>
      <c r="AC319" s="1378"/>
      <c r="AD319" s="1376"/>
      <c r="AE319" s="1378"/>
      <c r="AF319" s="1378"/>
      <c r="AG319" s="1378"/>
      <c r="AH319" s="1380"/>
      <c r="AI319" s="1382"/>
      <c r="AJ319" s="1384"/>
      <c r="AK319" s="1386"/>
      <c r="AL319" s="1364"/>
      <c r="AM319" s="1388"/>
      <c r="AN319" s="1360"/>
      <c r="AO319" s="1390"/>
      <c r="AP319" s="1394"/>
      <c r="AQ319" s="1394"/>
      <c r="AR319" s="1396"/>
      <c r="AS319" s="1348"/>
      <c r="AT319" s="1334" t="str">
        <f t="shared" si="206"/>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1"/>
      <c r="C320" s="1302"/>
      <c r="D320" s="1302"/>
      <c r="E320" s="1302"/>
      <c r="F320" s="1303"/>
      <c r="G320" s="1268"/>
      <c r="H320" s="1268"/>
      <c r="I320" s="1268"/>
      <c r="J320" s="1443"/>
      <c r="K320" s="1268"/>
      <c r="L320" s="1274"/>
      <c r="M320" s="1277"/>
      <c r="N320" s="1400"/>
      <c r="O320" s="1421"/>
      <c r="P320" s="1401" t="s">
        <v>2179</v>
      </c>
      <c r="Q320" s="1403" t="str">
        <f>IFERROR(VLOOKUP('別紙様式2-2（４・５月分）'!AR242,【参考】数式用!$AT$5:$AV$22,3,FALSE),"")</f>
        <v/>
      </c>
      <c r="R320" s="1405" t="s">
        <v>2190</v>
      </c>
      <c r="S320" s="1407" t="str">
        <f>IFERROR(VLOOKUP(K318,【参考】数式用!$A$5:$AB$27,MATCH(Q320,【参考】数式用!$B$4:$AB$4,0)+1,0),"")</f>
        <v/>
      </c>
      <c r="T320" s="1409" t="s">
        <v>217</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5" t="s">
        <v>38</v>
      </c>
      <c r="AI320" s="1367" t="str">
        <f>IFERROR(ROUNDDOWN(ROUND(L318*V320,0)*M318,0)*AG320,"")</f>
        <v/>
      </c>
      <c r="AJ320" s="1369" t="str">
        <f>IFERROR(ROUNDDOWN(ROUND((L318*(V320-AX318)),0)*M318,0)*AG320,"")</f>
        <v/>
      </c>
      <c r="AK320" s="1371">
        <f>IFERROR(IF(OR(N318="",N319="",N321=""),0,ROUNDDOWN(ROUNDDOWN(ROUND(L318*VLOOKUP(K318,【参考】数式用!$A$5:$AB$27,MATCH("新加算Ⅳ",【参考】数式用!$B$4:$AB$4,0)+1,0),0)*M318,0)*AG320*0.5,0)),"")</f>
        <v>0</v>
      </c>
      <c r="AL320" s="1361" t="str">
        <f t="shared" ref="AL320" si="241">IF(U320&lt;&gt;"","新規に適用","")</f>
        <v/>
      </c>
      <c r="AM320" s="1373">
        <f>IFERROR(IF(OR(N321="ベア加算",N321=""),0, IF(OR(U318="新加算Ⅰ",U318="新加算Ⅱ",U318="新加算Ⅲ",U318="新加算Ⅳ"),0,ROUNDDOWN(ROUND(L318*VLOOKUP(K318,【参考】数式用!$A$5:$I$27,MATCH("ベア加算",【参考】数式用!$B$4:$I$4,0)+1,0),0)*M318,0)*AG320)),"")</f>
        <v>0</v>
      </c>
      <c r="AN320" s="1345" t="str">
        <f>IF(AND(U320&lt;&gt;"",AN318=""),"新規に適用",IF(AND(U320&lt;&gt;"",AN318&lt;&gt;""),"継続で適用",""))</f>
        <v/>
      </c>
      <c r="AO320" s="1345" t="str">
        <f>IF(AND(U320&lt;&gt;"",AO318=""),"新規に適用",IF(AND(U320&lt;&gt;"",AO318&lt;&gt;""),"継続で適用",""))</f>
        <v/>
      </c>
      <c r="AP320" s="1391"/>
      <c r="AQ320" s="1345" t="str">
        <f>IF(AND(U320&lt;&gt;"",AQ318=""),"新規に適用",IF(AND(U320&lt;&gt;"",AQ318&lt;&gt;""),"継続で適用",""))</f>
        <v/>
      </c>
      <c r="AR320" s="1349" t="str">
        <f t="shared" si="223"/>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316"/>
      <c r="B321" s="1439"/>
      <c r="C321" s="1440"/>
      <c r="D321" s="1440"/>
      <c r="E321" s="1440"/>
      <c r="F321" s="1441"/>
      <c r="G321" s="1269"/>
      <c r="H321" s="1269"/>
      <c r="I321" s="1269"/>
      <c r="J321" s="1444"/>
      <c r="K321" s="1269"/>
      <c r="L321" s="1275"/>
      <c r="M321" s="1278"/>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66"/>
      <c r="AI321" s="1368"/>
      <c r="AJ321" s="1370"/>
      <c r="AK321" s="1372"/>
      <c r="AL321" s="1362"/>
      <c r="AM321" s="1374"/>
      <c r="AN321" s="1346"/>
      <c r="AO321" s="1346"/>
      <c r="AP321" s="1392"/>
      <c r="AQ321" s="1346"/>
      <c r="AR321" s="1350"/>
      <c r="AS321" s="1346"/>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43" t="str">
        <f>IF(基本情報入力シート!X131="","",基本情報入力シート!X131)</f>
        <v/>
      </c>
      <c r="K322" s="1268" t="str">
        <f>IF(基本情報入力シート!Y131="","",基本情報入力シート!Y131)</f>
        <v/>
      </c>
      <c r="L322" s="1274"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2173</v>
      </c>
      <c r="U322" s="1433"/>
      <c r="V322" s="1435" t="str">
        <f>IFERROR(VLOOKUP(K322,【参考】数式用!$A$5:$AB$27,MATCH(U322,【参考】数式用!$B$4:$AB$4,0)+1,0),"")</f>
        <v/>
      </c>
      <c r="W322" s="1437" t="s">
        <v>19</v>
      </c>
      <c r="X322" s="1375">
        <v>6</v>
      </c>
      <c r="Y322" s="1377" t="s">
        <v>10</v>
      </c>
      <c r="Z322" s="1375">
        <v>6</v>
      </c>
      <c r="AA322" s="1377" t="s">
        <v>45</v>
      </c>
      <c r="AB322" s="1375">
        <v>7</v>
      </c>
      <c r="AC322" s="1377" t="s">
        <v>10</v>
      </c>
      <c r="AD322" s="1375">
        <v>3</v>
      </c>
      <c r="AE322" s="1377" t="s">
        <v>13</v>
      </c>
      <c r="AF322" s="1377" t="s">
        <v>24</v>
      </c>
      <c r="AG322" s="1377">
        <f>IF(X322&gt;=1,(AB322*12+AD322)-(X322*12+Z322)+1,"")</f>
        <v>10</v>
      </c>
      <c r="AH322" s="1379" t="s">
        <v>38</v>
      </c>
      <c r="AI322" s="1381" t="str">
        <f>IFERROR(ROUNDDOWN(ROUND(L322*V322,0)*M322,0)*AG322,"")</f>
        <v/>
      </c>
      <c r="AJ322" s="1383" t="str">
        <f>IFERROR(ROUNDDOWN(ROUND((L322*(V322-AX322)),0)*M322,0)*AG322,"")</f>
        <v/>
      </c>
      <c r="AK322" s="1385">
        <f>IFERROR(IF(OR(N322="",N323="",N325=""),0,ROUNDDOWN(ROUNDDOWN(ROUND(L322*VLOOKUP(K322,【参考】数式用!$A$5:$AB$27,MATCH("新加算Ⅳ",【参考】数式用!$B$4:$AB$4,0)+1,0),0)*M322,0)*AG322*0.5,0)),"")</f>
        <v>0</v>
      </c>
      <c r="AL322" s="1363"/>
      <c r="AM322" s="138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04"/>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2098</v>
      </c>
      <c r="BA322" s="1247" t="s">
        <v>2099</v>
      </c>
      <c r="BB322" s="1247" t="s">
        <v>2100</v>
      </c>
      <c r="BC322" s="1247" t="s">
        <v>2101</v>
      </c>
      <c r="BD322" s="1247" t="str">
        <f>IF(AND(P322&lt;&gt;"新加算Ⅰ",P322&lt;&gt;"新加算Ⅱ",P322&lt;&gt;"新加算Ⅲ",P322&lt;&gt;"新加算Ⅳ"),P322,IF(Q324&lt;&gt;"",Q324,""))</f>
        <v/>
      </c>
      <c r="BE322" s="1247"/>
      <c r="BF322" s="1247" t="str">
        <f t="shared" ref="BF322" si="243">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315"/>
      <c r="B323" s="1301"/>
      <c r="C323" s="1302"/>
      <c r="D323" s="1302"/>
      <c r="E323" s="1302"/>
      <c r="F323" s="1303"/>
      <c r="G323" s="1268"/>
      <c r="H323" s="1268"/>
      <c r="I323" s="1268"/>
      <c r="J323" s="1443"/>
      <c r="K323" s="1268"/>
      <c r="L323" s="1274"/>
      <c r="M323" s="1445"/>
      <c r="N323" s="1399" t="str">
        <f>IF('別紙様式2-2（４・５月分）'!Q246="","",'別紙様式2-2（４・５月分）'!Q246)</f>
        <v/>
      </c>
      <c r="O323" s="1420"/>
      <c r="P323" s="1426"/>
      <c r="Q323" s="1427"/>
      <c r="R323" s="1428"/>
      <c r="S323" s="1430"/>
      <c r="T323" s="1432"/>
      <c r="U323" s="1434"/>
      <c r="V323" s="1436"/>
      <c r="W323" s="1438"/>
      <c r="X323" s="1376"/>
      <c r="Y323" s="1378"/>
      <c r="Z323" s="1376"/>
      <c r="AA323" s="1378"/>
      <c r="AB323" s="1376"/>
      <c r="AC323" s="1378"/>
      <c r="AD323" s="1376"/>
      <c r="AE323" s="1378"/>
      <c r="AF323" s="1378"/>
      <c r="AG323" s="1378"/>
      <c r="AH323" s="1380"/>
      <c r="AI323" s="1382"/>
      <c r="AJ323" s="1384"/>
      <c r="AK323" s="1386"/>
      <c r="AL323" s="1364"/>
      <c r="AM323" s="1388"/>
      <c r="AN323" s="1360"/>
      <c r="AO323" s="1390"/>
      <c r="AP323" s="1394"/>
      <c r="AQ323" s="1394"/>
      <c r="AR323" s="1396"/>
      <c r="AS323" s="1348"/>
      <c r="AT323" s="1334" t="str">
        <f t="shared" si="206"/>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1"/>
      <c r="C324" s="1302"/>
      <c r="D324" s="1302"/>
      <c r="E324" s="1302"/>
      <c r="F324" s="1303"/>
      <c r="G324" s="1268"/>
      <c r="H324" s="1268"/>
      <c r="I324" s="1268"/>
      <c r="J324" s="1443"/>
      <c r="K324" s="1268"/>
      <c r="L324" s="1274"/>
      <c r="M324" s="1445"/>
      <c r="N324" s="1400"/>
      <c r="O324" s="1421"/>
      <c r="P324" s="1401" t="s">
        <v>2179</v>
      </c>
      <c r="Q324" s="1403" t="str">
        <f>IFERROR(VLOOKUP('別紙様式2-2（４・５月分）'!AR245,【参考】数式用!$AT$5:$AV$22,3,FALSE),"")</f>
        <v/>
      </c>
      <c r="R324" s="1405" t="s">
        <v>2190</v>
      </c>
      <c r="S324" s="1447" t="str">
        <f>IFERROR(VLOOKUP(K322,【参考】数式用!$A$5:$AB$27,MATCH(Q324,【参考】数式用!$B$4:$AB$4,0)+1,0),"")</f>
        <v/>
      </c>
      <c r="T324" s="1409" t="s">
        <v>217</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5" t="s">
        <v>38</v>
      </c>
      <c r="AI324" s="1367" t="str">
        <f>IFERROR(ROUNDDOWN(ROUND(L322*V324,0)*M322,0)*AG324,"")</f>
        <v/>
      </c>
      <c r="AJ324" s="1369" t="str">
        <f>IFERROR(ROUNDDOWN(ROUND((L322*(V324-AX322)),0)*M322,0)*AG324,"")</f>
        <v/>
      </c>
      <c r="AK324" s="1371">
        <f>IFERROR(IF(OR(N322="",N323="",N325=""),0,ROUNDDOWN(ROUNDDOWN(ROUND(L322*VLOOKUP(K322,【参考】数式用!$A$5:$AB$27,MATCH("新加算Ⅳ",【参考】数式用!$B$4:$AB$4,0)+1,0),0)*M322,0)*AG324*0.5,0)),"")</f>
        <v>0</v>
      </c>
      <c r="AL324" s="1361" t="str">
        <f t="shared" ref="AL324" si="244">IF(U324&lt;&gt;"","新規に適用","")</f>
        <v/>
      </c>
      <c r="AM324" s="1373">
        <f>IFERROR(IF(OR(N325="ベア加算",N325=""),0, IF(OR(U322="新加算Ⅰ",U322="新加算Ⅱ",U322="新加算Ⅲ",U322="新加算Ⅳ"),0,ROUNDDOWN(ROUND(L322*VLOOKUP(K322,【参考】数式用!$A$5:$I$27,MATCH("ベア加算",【参考】数式用!$B$4:$I$4,0)+1,0),0)*M322,0)*AG324)),"")</f>
        <v>0</v>
      </c>
      <c r="AN324" s="1345" t="str">
        <f>IF(AND(U324&lt;&gt;"",AN322=""),"新規に適用",IF(AND(U324&lt;&gt;"",AN322&lt;&gt;""),"継続で適用",""))</f>
        <v/>
      </c>
      <c r="AO324" s="1345" t="str">
        <f>IF(AND(U324&lt;&gt;"",AO322=""),"新規に適用",IF(AND(U324&lt;&gt;"",AO322&lt;&gt;""),"継続で適用",""))</f>
        <v/>
      </c>
      <c r="AP324" s="1391"/>
      <c r="AQ324" s="1345" t="str">
        <f>IF(AND(U324&lt;&gt;"",AQ322=""),"新規に適用",IF(AND(U324&lt;&gt;"",AQ322&lt;&gt;""),"継続で適用",""))</f>
        <v/>
      </c>
      <c r="AR324" s="1349" t="str">
        <f t="shared" si="223"/>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316"/>
      <c r="B325" s="1439"/>
      <c r="C325" s="1440"/>
      <c r="D325" s="1440"/>
      <c r="E325" s="1440"/>
      <c r="F325" s="1441"/>
      <c r="G325" s="1269"/>
      <c r="H325" s="1269"/>
      <c r="I325" s="1269"/>
      <c r="J325" s="1444"/>
      <c r="K325" s="1269"/>
      <c r="L325" s="1275"/>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66"/>
      <c r="AI325" s="1368"/>
      <c r="AJ325" s="1370"/>
      <c r="AK325" s="1372"/>
      <c r="AL325" s="1362"/>
      <c r="AM325" s="1374"/>
      <c r="AN325" s="1346"/>
      <c r="AO325" s="1346"/>
      <c r="AP325" s="1392"/>
      <c r="AQ325" s="1346"/>
      <c r="AR325" s="1350"/>
      <c r="AS325" s="1346"/>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314">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4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2173</v>
      </c>
      <c r="U326" s="1433"/>
      <c r="V326" s="1435" t="str">
        <f>IFERROR(VLOOKUP(K326,【参考】数式用!$A$5:$AB$27,MATCH(U326,【参考】数式用!$B$4:$AB$4,0)+1,0),"")</f>
        <v/>
      </c>
      <c r="W326" s="1437" t="s">
        <v>19</v>
      </c>
      <c r="X326" s="1375">
        <v>6</v>
      </c>
      <c r="Y326" s="1377" t="s">
        <v>10</v>
      </c>
      <c r="Z326" s="1375">
        <v>6</v>
      </c>
      <c r="AA326" s="1377" t="s">
        <v>45</v>
      </c>
      <c r="AB326" s="1375">
        <v>7</v>
      </c>
      <c r="AC326" s="1377" t="s">
        <v>10</v>
      </c>
      <c r="AD326" s="1375">
        <v>3</v>
      </c>
      <c r="AE326" s="1377" t="s">
        <v>13</v>
      </c>
      <c r="AF326" s="1377" t="s">
        <v>24</v>
      </c>
      <c r="AG326" s="1377">
        <f>IF(X326&gt;=1,(AB326*12+AD326)-(X326*12+Z326)+1,"")</f>
        <v>10</v>
      </c>
      <c r="AH326" s="1379" t="s">
        <v>38</v>
      </c>
      <c r="AI326" s="1381" t="str">
        <f>IFERROR(ROUNDDOWN(ROUND(L326*V326,0)*M326,0)*AG326,"")</f>
        <v/>
      </c>
      <c r="AJ326" s="1383" t="str">
        <f>IFERROR(ROUNDDOWN(ROUND((L326*(V326-AX326)),0)*M326,0)*AG326,"")</f>
        <v/>
      </c>
      <c r="AK326" s="1385">
        <f>IFERROR(IF(OR(N326="",N327="",N329=""),0,ROUNDDOWN(ROUNDDOWN(ROUND(L326*VLOOKUP(K326,【参考】数式用!$A$5:$AB$27,MATCH("新加算Ⅳ",【参考】数式用!$B$4:$AB$4,0)+1,0),0)*M326,0)*AG326*0.5,0)),"")</f>
        <v>0</v>
      </c>
      <c r="AL326" s="1363"/>
      <c r="AM326" s="138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04"/>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2098</v>
      </c>
      <c r="BA326" s="1247" t="s">
        <v>2099</v>
      </c>
      <c r="BB326" s="1247" t="s">
        <v>2100</v>
      </c>
      <c r="BC326" s="1247" t="s">
        <v>2101</v>
      </c>
      <c r="BD326" s="1247" t="str">
        <f>IF(AND(P326&lt;&gt;"新加算Ⅰ",P326&lt;&gt;"新加算Ⅱ",P326&lt;&gt;"新加算Ⅲ",P326&lt;&gt;"新加算Ⅳ"),P326,IF(Q328&lt;&gt;"",Q328,""))</f>
        <v/>
      </c>
      <c r="BE326" s="1247"/>
      <c r="BF326" s="1247" t="str">
        <f t="shared" ref="BF326" si="246">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315"/>
      <c r="B327" s="1301"/>
      <c r="C327" s="1302"/>
      <c r="D327" s="1302"/>
      <c r="E327" s="1302"/>
      <c r="F327" s="1303"/>
      <c r="G327" s="1268"/>
      <c r="H327" s="1268"/>
      <c r="I327" s="1268"/>
      <c r="J327" s="1443"/>
      <c r="K327" s="1268"/>
      <c r="L327" s="1274"/>
      <c r="M327" s="1277"/>
      <c r="N327" s="1399" t="str">
        <f>IF('別紙様式2-2（４・５月分）'!Q249="","",'別紙様式2-2（４・５月分）'!Q249)</f>
        <v/>
      </c>
      <c r="O327" s="1420"/>
      <c r="P327" s="1426"/>
      <c r="Q327" s="1427"/>
      <c r="R327" s="1428"/>
      <c r="S327" s="1430"/>
      <c r="T327" s="1432"/>
      <c r="U327" s="1434"/>
      <c r="V327" s="1436"/>
      <c r="W327" s="1438"/>
      <c r="X327" s="1376"/>
      <c r="Y327" s="1378"/>
      <c r="Z327" s="1376"/>
      <c r="AA327" s="1378"/>
      <c r="AB327" s="1376"/>
      <c r="AC327" s="1378"/>
      <c r="AD327" s="1376"/>
      <c r="AE327" s="1378"/>
      <c r="AF327" s="1378"/>
      <c r="AG327" s="1378"/>
      <c r="AH327" s="1380"/>
      <c r="AI327" s="1382"/>
      <c r="AJ327" s="1384"/>
      <c r="AK327" s="1386"/>
      <c r="AL327" s="1364"/>
      <c r="AM327" s="1388"/>
      <c r="AN327" s="1360"/>
      <c r="AO327" s="1390"/>
      <c r="AP327" s="1394"/>
      <c r="AQ327" s="1394"/>
      <c r="AR327" s="1396"/>
      <c r="AS327" s="1348"/>
      <c r="AT327" s="1334" t="str">
        <f t="shared" si="206"/>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1"/>
      <c r="C328" s="1302"/>
      <c r="D328" s="1302"/>
      <c r="E328" s="1302"/>
      <c r="F328" s="1303"/>
      <c r="G328" s="1268"/>
      <c r="H328" s="1268"/>
      <c r="I328" s="1268"/>
      <c r="J328" s="1443"/>
      <c r="K328" s="1268"/>
      <c r="L328" s="1274"/>
      <c r="M328" s="1277"/>
      <c r="N328" s="1400"/>
      <c r="O328" s="1421"/>
      <c r="P328" s="1401" t="s">
        <v>2179</v>
      </c>
      <c r="Q328" s="1403" t="str">
        <f>IFERROR(VLOOKUP('別紙様式2-2（４・５月分）'!AR248,【参考】数式用!$AT$5:$AV$22,3,FALSE),"")</f>
        <v/>
      </c>
      <c r="R328" s="1405" t="s">
        <v>2190</v>
      </c>
      <c r="S328" s="1407" t="str">
        <f>IFERROR(VLOOKUP(K326,【参考】数式用!$A$5:$AB$27,MATCH(Q328,【参考】数式用!$B$4:$AB$4,0)+1,0),"")</f>
        <v/>
      </c>
      <c r="T328" s="1409" t="s">
        <v>217</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5" t="s">
        <v>38</v>
      </c>
      <c r="AI328" s="1367" t="str">
        <f>IFERROR(ROUNDDOWN(ROUND(L326*V328,0)*M326,0)*AG328,"")</f>
        <v/>
      </c>
      <c r="AJ328" s="1369" t="str">
        <f>IFERROR(ROUNDDOWN(ROUND((L326*(V328-AX326)),0)*M326,0)*AG328,"")</f>
        <v/>
      </c>
      <c r="AK328" s="1371">
        <f>IFERROR(IF(OR(N326="",N327="",N329=""),0,ROUNDDOWN(ROUNDDOWN(ROUND(L326*VLOOKUP(K326,【参考】数式用!$A$5:$AB$27,MATCH("新加算Ⅳ",【参考】数式用!$B$4:$AB$4,0)+1,0),0)*M326,0)*AG328*0.5,0)),"")</f>
        <v>0</v>
      </c>
      <c r="AL328" s="1361" t="str">
        <f t="shared" ref="AL328" si="247">IF(U328&lt;&gt;"","新規に適用","")</f>
        <v/>
      </c>
      <c r="AM328" s="1373">
        <f>IFERROR(IF(OR(N329="ベア加算",N329=""),0, IF(OR(U326="新加算Ⅰ",U326="新加算Ⅱ",U326="新加算Ⅲ",U326="新加算Ⅳ"),0,ROUNDDOWN(ROUND(L326*VLOOKUP(K326,【参考】数式用!$A$5:$I$27,MATCH("ベア加算",【参考】数式用!$B$4:$I$4,0)+1,0),0)*M326,0)*AG328)),"")</f>
        <v>0</v>
      </c>
      <c r="AN328" s="1345" t="str">
        <f>IF(AND(U328&lt;&gt;"",AN326=""),"新規に適用",IF(AND(U328&lt;&gt;"",AN326&lt;&gt;""),"継続で適用",""))</f>
        <v/>
      </c>
      <c r="AO328" s="1345" t="str">
        <f>IF(AND(U328&lt;&gt;"",AO326=""),"新規に適用",IF(AND(U328&lt;&gt;"",AO326&lt;&gt;""),"継続で適用",""))</f>
        <v/>
      </c>
      <c r="AP328" s="1391"/>
      <c r="AQ328" s="1345" t="str">
        <f>IF(AND(U328&lt;&gt;"",AQ326=""),"新規に適用",IF(AND(U328&lt;&gt;"",AQ326&lt;&gt;""),"継続で適用",""))</f>
        <v/>
      </c>
      <c r="AR328" s="1349" t="str">
        <f t="shared" si="223"/>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316"/>
      <c r="B329" s="1439"/>
      <c r="C329" s="1440"/>
      <c r="D329" s="1440"/>
      <c r="E329" s="1440"/>
      <c r="F329" s="1441"/>
      <c r="G329" s="1269"/>
      <c r="H329" s="1269"/>
      <c r="I329" s="1269"/>
      <c r="J329" s="1444"/>
      <c r="K329" s="1269"/>
      <c r="L329" s="1275"/>
      <c r="M329" s="1278"/>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66"/>
      <c r="AI329" s="1368"/>
      <c r="AJ329" s="1370"/>
      <c r="AK329" s="1372"/>
      <c r="AL329" s="1362"/>
      <c r="AM329" s="1374"/>
      <c r="AN329" s="1346"/>
      <c r="AO329" s="1346"/>
      <c r="AP329" s="1392"/>
      <c r="AQ329" s="1346"/>
      <c r="AR329" s="1350"/>
      <c r="AS329" s="1346"/>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43" t="str">
        <f>IF(基本情報入力シート!X133="","",基本情報入力シート!X133)</f>
        <v/>
      </c>
      <c r="K330" s="1268" t="str">
        <f>IF(基本情報入力シート!Y133="","",基本情報入力シート!Y133)</f>
        <v/>
      </c>
      <c r="L330" s="1274"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2173</v>
      </c>
      <c r="U330" s="1433"/>
      <c r="V330" s="1435" t="str">
        <f>IFERROR(VLOOKUP(K330,【参考】数式用!$A$5:$AB$27,MATCH(U330,【参考】数式用!$B$4:$AB$4,0)+1,0),"")</f>
        <v/>
      </c>
      <c r="W330" s="1437" t="s">
        <v>19</v>
      </c>
      <c r="X330" s="1375">
        <v>6</v>
      </c>
      <c r="Y330" s="1377" t="s">
        <v>10</v>
      </c>
      <c r="Z330" s="1375">
        <v>6</v>
      </c>
      <c r="AA330" s="1377" t="s">
        <v>45</v>
      </c>
      <c r="AB330" s="1375">
        <v>7</v>
      </c>
      <c r="AC330" s="1377" t="s">
        <v>10</v>
      </c>
      <c r="AD330" s="1375">
        <v>3</v>
      </c>
      <c r="AE330" s="1377" t="s">
        <v>13</v>
      </c>
      <c r="AF330" s="1377" t="s">
        <v>24</v>
      </c>
      <c r="AG330" s="1377">
        <f>IF(X330&gt;=1,(AB330*12+AD330)-(X330*12+Z330)+1,"")</f>
        <v>10</v>
      </c>
      <c r="AH330" s="1379" t="s">
        <v>38</v>
      </c>
      <c r="AI330" s="1381" t="str">
        <f>IFERROR(ROUNDDOWN(ROUND(L330*V330,0)*M330,0)*AG330,"")</f>
        <v/>
      </c>
      <c r="AJ330" s="1383" t="str">
        <f>IFERROR(ROUNDDOWN(ROUND((L330*(V330-AX330)),0)*M330,0)*AG330,"")</f>
        <v/>
      </c>
      <c r="AK330" s="1385">
        <f>IFERROR(IF(OR(N330="",N331="",N333=""),0,ROUNDDOWN(ROUNDDOWN(ROUND(L330*VLOOKUP(K330,【参考】数式用!$A$5:$AB$27,MATCH("新加算Ⅳ",【参考】数式用!$B$4:$AB$4,0)+1,0),0)*M330,0)*AG330*0.5,0)),"")</f>
        <v>0</v>
      </c>
      <c r="AL330" s="1363"/>
      <c r="AM330" s="138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04"/>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2098</v>
      </c>
      <c r="BA330" s="1247" t="s">
        <v>2099</v>
      </c>
      <c r="BB330" s="1247" t="s">
        <v>2100</v>
      </c>
      <c r="BC330" s="1247" t="s">
        <v>2101</v>
      </c>
      <c r="BD330" s="1247" t="str">
        <f>IF(AND(P330&lt;&gt;"新加算Ⅰ",P330&lt;&gt;"新加算Ⅱ",P330&lt;&gt;"新加算Ⅲ",P330&lt;&gt;"新加算Ⅳ"),P330,IF(Q332&lt;&gt;"",Q332,""))</f>
        <v/>
      </c>
      <c r="BE330" s="1247"/>
      <c r="BF330" s="1247" t="str">
        <f t="shared" ref="BF330" si="249">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315"/>
      <c r="B331" s="1301"/>
      <c r="C331" s="1302"/>
      <c r="D331" s="1302"/>
      <c r="E331" s="1302"/>
      <c r="F331" s="1303"/>
      <c r="G331" s="1268"/>
      <c r="H331" s="1268"/>
      <c r="I331" s="1268"/>
      <c r="J331" s="1443"/>
      <c r="K331" s="1268"/>
      <c r="L331" s="1274"/>
      <c r="M331" s="1445"/>
      <c r="N331" s="1399" t="str">
        <f>IF('別紙様式2-2（４・５月分）'!Q252="","",'別紙様式2-2（４・５月分）'!Q252)</f>
        <v/>
      </c>
      <c r="O331" s="1420"/>
      <c r="P331" s="1426"/>
      <c r="Q331" s="1427"/>
      <c r="R331" s="1428"/>
      <c r="S331" s="1430"/>
      <c r="T331" s="1432"/>
      <c r="U331" s="1434"/>
      <c r="V331" s="1436"/>
      <c r="W331" s="1438"/>
      <c r="X331" s="1376"/>
      <c r="Y331" s="1378"/>
      <c r="Z331" s="1376"/>
      <c r="AA331" s="1378"/>
      <c r="AB331" s="1376"/>
      <c r="AC331" s="1378"/>
      <c r="AD331" s="1376"/>
      <c r="AE331" s="1378"/>
      <c r="AF331" s="1378"/>
      <c r="AG331" s="1378"/>
      <c r="AH331" s="1380"/>
      <c r="AI331" s="1382"/>
      <c r="AJ331" s="1384"/>
      <c r="AK331" s="1386"/>
      <c r="AL331" s="1364"/>
      <c r="AM331" s="1388"/>
      <c r="AN331" s="1360"/>
      <c r="AO331" s="1390"/>
      <c r="AP331" s="1394"/>
      <c r="AQ331" s="1394"/>
      <c r="AR331" s="1396"/>
      <c r="AS331" s="1348"/>
      <c r="AT331" s="1334" t="str">
        <f t="shared" si="206"/>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1"/>
      <c r="C332" s="1302"/>
      <c r="D332" s="1302"/>
      <c r="E332" s="1302"/>
      <c r="F332" s="1303"/>
      <c r="G332" s="1268"/>
      <c r="H332" s="1268"/>
      <c r="I332" s="1268"/>
      <c r="J332" s="1443"/>
      <c r="K332" s="1268"/>
      <c r="L332" s="1274"/>
      <c r="M332" s="1445"/>
      <c r="N332" s="1400"/>
      <c r="O332" s="1421"/>
      <c r="P332" s="1401" t="s">
        <v>2179</v>
      </c>
      <c r="Q332" s="1403" t="str">
        <f>IFERROR(VLOOKUP('別紙様式2-2（４・５月分）'!AR251,【参考】数式用!$AT$5:$AV$22,3,FALSE),"")</f>
        <v/>
      </c>
      <c r="R332" s="1405" t="s">
        <v>2190</v>
      </c>
      <c r="S332" s="1447" t="str">
        <f>IFERROR(VLOOKUP(K330,【参考】数式用!$A$5:$AB$27,MATCH(Q332,【参考】数式用!$B$4:$AB$4,0)+1,0),"")</f>
        <v/>
      </c>
      <c r="T332" s="1409" t="s">
        <v>217</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5" t="s">
        <v>38</v>
      </c>
      <c r="AI332" s="1367" t="str">
        <f>IFERROR(ROUNDDOWN(ROUND(L330*V332,0)*M330,0)*AG332,"")</f>
        <v/>
      </c>
      <c r="AJ332" s="1369" t="str">
        <f>IFERROR(ROUNDDOWN(ROUND((L330*(V332-AX330)),0)*M330,0)*AG332,"")</f>
        <v/>
      </c>
      <c r="AK332" s="1371">
        <f>IFERROR(IF(OR(N330="",N331="",N333=""),0,ROUNDDOWN(ROUNDDOWN(ROUND(L330*VLOOKUP(K330,【参考】数式用!$A$5:$AB$27,MATCH("新加算Ⅳ",【参考】数式用!$B$4:$AB$4,0)+1,0),0)*M330,0)*AG332*0.5,0)),"")</f>
        <v>0</v>
      </c>
      <c r="AL332" s="1361" t="str">
        <f t="shared" ref="AL332" si="250">IF(U332&lt;&gt;"","新規に適用","")</f>
        <v/>
      </c>
      <c r="AM332" s="1373">
        <f>IFERROR(IF(OR(N333="ベア加算",N333=""),0, IF(OR(U330="新加算Ⅰ",U330="新加算Ⅱ",U330="新加算Ⅲ",U330="新加算Ⅳ"),0,ROUNDDOWN(ROUND(L330*VLOOKUP(K330,【参考】数式用!$A$5:$I$27,MATCH("ベア加算",【参考】数式用!$B$4:$I$4,0)+1,0),0)*M330,0)*AG332)),"")</f>
        <v>0</v>
      </c>
      <c r="AN332" s="1345" t="str">
        <f>IF(AND(U332&lt;&gt;"",AN330=""),"新規に適用",IF(AND(U332&lt;&gt;"",AN330&lt;&gt;""),"継続で適用",""))</f>
        <v/>
      </c>
      <c r="AO332" s="1345" t="str">
        <f>IF(AND(U332&lt;&gt;"",AO330=""),"新規に適用",IF(AND(U332&lt;&gt;"",AO330&lt;&gt;""),"継続で適用",""))</f>
        <v/>
      </c>
      <c r="AP332" s="1391"/>
      <c r="AQ332" s="1345" t="str">
        <f>IF(AND(U332&lt;&gt;"",AQ330=""),"新規に適用",IF(AND(U332&lt;&gt;"",AQ330&lt;&gt;""),"継続で適用",""))</f>
        <v/>
      </c>
      <c r="AR332" s="1349" t="str">
        <f t="shared" si="223"/>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316"/>
      <c r="B333" s="1439"/>
      <c r="C333" s="1440"/>
      <c r="D333" s="1440"/>
      <c r="E333" s="1440"/>
      <c r="F333" s="1441"/>
      <c r="G333" s="1269"/>
      <c r="H333" s="1269"/>
      <c r="I333" s="1269"/>
      <c r="J333" s="1444"/>
      <c r="K333" s="1269"/>
      <c r="L333" s="1275"/>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66"/>
      <c r="AI333" s="1368"/>
      <c r="AJ333" s="1370"/>
      <c r="AK333" s="1372"/>
      <c r="AL333" s="1362"/>
      <c r="AM333" s="1374"/>
      <c r="AN333" s="1346"/>
      <c r="AO333" s="1346"/>
      <c r="AP333" s="1392"/>
      <c r="AQ333" s="1346"/>
      <c r="AR333" s="1350"/>
      <c r="AS333" s="1346"/>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314">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4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2173</v>
      </c>
      <c r="U334" s="1433"/>
      <c r="V334" s="1435" t="str">
        <f>IFERROR(VLOOKUP(K334,【参考】数式用!$A$5:$AB$27,MATCH(U334,【参考】数式用!$B$4:$AB$4,0)+1,0),"")</f>
        <v/>
      </c>
      <c r="W334" s="1437" t="s">
        <v>19</v>
      </c>
      <c r="X334" s="1375">
        <v>6</v>
      </c>
      <c r="Y334" s="1377" t="s">
        <v>10</v>
      </c>
      <c r="Z334" s="1375">
        <v>6</v>
      </c>
      <c r="AA334" s="1377" t="s">
        <v>45</v>
      </c>
      <c r="AB334" s="1375">
        <v>7</v>
      </c>
      <c r="AC334" s="1377" t="s">
        <v>10</v>
      </c>
      <c r="AD334" s="1375">
        <v>3</v>
      </c>
      <c r="AE334" s="1377" t="s">
        <v>13</v>
      </c>
      <c r="AF334" s="1377" t="s">
        <v>24</v>
      </c>
      <c r="AG334" s="1377">
        <f>IF(X334&gt;=1,(AB334*12+AD334)-(X334*12+Z334)+1,"")</f>
        <v>10</v>
      </c>
      <c r="AH334" s="1379" t="s">
        <v>38</v>
      </c>
      <c r="AI334" s="1381" t="str">
        <f>IFERROR(ROUNDDOWN(ROUND(L334*V334,0)*M334,0)*AG334,"")</f>
        <v/>
      </c>
      <c r="AJ334" s="1383" t="str">
        <f>IFERROR(ROUNDDOWN(ROUND((L334*(V334-AX334)),0)*M334,0)*AG334,"")</f>
        <v/>
      </c>
      <c r="AK334" s="1385">
        <f>IFERROR(IF(OR(N334="",N335="",N337=""),0,ROUNDDOWN(ROUNDDOWN(ROUND(L334*VLOOKUP(K334,【参考】数式用!$A$5:$AB$27,MATCH("新加算Ⅳ",【参考】数式用!$B$4:$AB$4,0)+1,0),0)*M334,0)*AG334*0.5,0)),"")</f>
        <v>0</v>
      </c>
      <c r="AL334" s="1363"/>
      <c r="AM334" s="138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04"/>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2098</v>
      </c>
      <c r="BA334" s="1247" t="s">
        <v>2099</v>
      </c>
      <c r="BB334" s="1247" t="s">
        <v>2100</v>
      </c>
      <c r="BC334" s="1247" t="s">
        <v>2101</v>
      </c>
      <c r="BD334" s="1247" t="str">
        <f>IF(AND(P334&lt;&gt;"新加算Ⅰ",P334&lt;&gt;"新加算Ⅱ",P334&lt;&gt;"新加算Ⅲ",P334&lt;&gt;"新加算Ⅳ"),P334,IF(Q336&lt;&gt;"",Q336,""))</f>
        <v/>
      </c>
      <c r="BE334" s="1247"/>
      <c r="BF334" s="1247" t="str">
        <f t="shared" ref="BF334" si="252">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315"/>
      <c r="B335" s="1301"/>
      <c r="C335" s="1302"/>
      <c r="D335" s="1302"/>
      <c r="E335" s="1302"/>
      <c r="F335" s="1303"/>
      <c r="G335" s="1268"/>
      <c r="H335" s="1268"/>
      <c r="I335" s="1268"/>
      <c r="J335" s="1443"/>
      <c r="K335" s="1268"/>
      <c r="L335" s="1274"/>
      <c r="M335" s="1277"/>
      <c r="N335" s="1399" t="str">
        <f>IF('別紙様式2-2（４・５月分）'!Q255="","",'別紙様式2-2（４・５月分）'!Q255)</f>
        <v/>
      </c>
      <c r="O335" s="1420"/>
      <c r="P335" s="1426"/>
      <c r="Q335" s="1427"/>
      <c r="R335" s="1428"/>
      <c r="S335" s="1430"/>
      <c r="T335" s="1432"/>
      <c r="U335" s="1434"/>
      <c r="V335" s="1436"/>
      <c r="W335" s="1438"/>
      <c r="X335" s="1376"/>
      <c r="Y335" s="1378"/>
      <c r="Z335" s="1376"/>
      <c r="AA335" s="1378"/>
      <c r="AB335" s="1376"/>
      <c r="AC335" s="1378"/>
      <c r="AD335" s="1376"/>
      <c r="AE335" s="1378"/>
      <c r="AF335" s="1378"/>
      <c r="AG335" s="1378"/>
      <c r="AH335" s="1380"/>
      <c r="AI335" s="1382"/>
      <c r="AJ335" s="1384"/>
      <c r="AK335" s="1386"/>
      <c r="AL335" s="1364"/>
      <c r="AM335" s="1388"/>
      <c r="AN335" s="1360"/>
      <c r="AO335" s="1390"/>
      <c r="AP335" s="1394"/>
      <c r="AQ335" s="1394"/>
      <c r="AR335" s="1396"/>
      <c r="AS335" s="1348"/>
      <c r="AT335" s="1334" t="str">
        <f t="shared" si="206"/>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1"/>
      <c r="C336" s="1302"/>
      <c r="D336" s="1302"/>
      <c r="E336" s="1302"/>
      <c r="F336" s="1303"/>
      <c r="G336" s="1268"/>
      <c r="H336" s="1268"/>
      <c r="I336" s="1268"/>
      <c r="J336" s="1443"/>
      <c r="K336" s="1268"/>
      <c r="L336" s="1274"/>
      <c r="M336" s="1277"/>
      <c r="N336" s="1400"/>
      <c r="O336" s="1421"/>
      <c r="P336" s="1401" t="s">
        <v>2179</v>
      </c>
      <c r="Q336" s="1403" t="str">
        <f>IFERROR(VLOOKUP('別紙様式2-2（４・５月分）'!AR254,【参考】数式用!$AT$5:$AV$22,3,FALSE),"")</f>
        <v/>
      </c>
      <c r="R336" s="1405" t="s">
        <v>2190</v>
      </c>
      <c r="S336" s="1407" t="str">
        <f>IFERROR(VLOOKUP(K334,【参考】数式用!$A$5:$AB$27,MATCH(Q336,【参考】数式用!$B$4:$AB$4,0)+1,0),"")</f>
        <v/>
      </c>
      <c r="T336" s="1409" t="s">
        <v>217</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5" t="s">
        <v>38</v>
      </c>
      <c r="AI336" s="1367" t="str">
        <f>IFERROR(ROUNDDOWN(ROUND(L334*V336,0)*M334,0)*AG336,"")</f>
        <v/>
      </c>
      <c r="AJ336" s="1369" t="str">
        <f>IFERROR(ROUNDDOWN(ROUND((L334*(V336-AX334)),0)*M334,0)*AG336,"")</f>
        <v/>
      </c>
      <c r="AK336" s="1371">
        <f>IFERROR(IF(OR(N334="",N335="",N337=""),0,ROUNDDOWN(ROUNDDOWN(ROUND(L334*VLOOKUP(K334,【参考】数式用!$A$5:$AB$27,MATCH("新加算Ⅳ",【参考】数式用!$B$4:$AB$4,0)+1,0),0)*M334,0)*AG336*0.5,0)),"")</f>
        <v>0</v>
      </c>
      <c r="AL336" s="1361" t="str">
        <f t="shared" ref="AL336" si="253">IF(U336&lt;&gt;"","新規に適用","")</f>
        <v/>
      </c>
      <c r="AM336" s="1373">
        <f>IFERROR(IF(OR(N337="ベア加算",N337=""),0, IF(OR(U334="新加算Ⅰ",U334="新加算Ⅱ",U334="新加算Ⅲ",U334="新加算Ⅳ"),0,ROUNDDOWN(ROUND(L334*VLOOKUP(K334,【参考】数式用!$A$5:$I$27,MATCH("ベア加算",【参考】数式用!$B$4:$I$4,0)+1,0),0)*M334,0)*AG336)),"")</f>
        <v>0</v>
      </c>
      <c r="AN336" s="1345" t="str">
        <f>IF(AND(U336&lt;&gt;"",AN334=""),"新規に適用",IF(AND(U336&lt;&gt;"",AN334&lt;&gt;""),"継続で適用",""))</f>
        <v/>
      </c>
      <c r="AO336" s="1345" t="str">
        <f>IF(AND(U336&lt;&gt;"",AO334=""),"新規に適用",IF(AND(U336&lt;&gt;"",AO334&lt;&gt;""),"継続で適用",""))</f>
        <v/>
      </c>
      <c r="AP336" s="1391"/>
      <c r="AQ336" s="1345" t="str">
        <f>IF(AND(U336&lt;&gt;"",AQ334=""),"新規に適用",IF(AND(U336&lt;&gt;"",AQ334&lt;&gt;""),"継続で適用",""))</f>
        <v/>
      </c>
      <c r="AR336" s="1349" t="str">
        <f t="shared" si="223"/>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316"/>
      <c r="B337" s="1439"/>
      <c r="C337" s="1440"/>
      <c r="D337" s="1440"/>
      <c r="E337" s="1440"/>
      <c r="F337" s="1441"/>
      <c r="G337" s="1269"/>
      <c r="H337" s="1269"/>
      <c r="I337" s="1269"/>
      <c r="J337" s="1444"/>
      <c r="K337" s="1269"/>
      <c r="L337" s="1275"/>
      <c r="M337" s="1278"/>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66"/>
      <c r="AI337" s="1368"/>
      <c r="AJ337" s="1370"/>
      <c r="AK337" s="1372"/>
      <c r="AL337" s="1362"/>
      <c r="AM337" s="1374"/>
      <c r="AN337" s="1346"/>
      <c r="AO337" s="1346"/>
      <c r="AP337" s="1392"/>
      <c r="AQ337" s="1346"/>
      <c r="AR337" s="1350"/>
      <c r="AS337" s="1346"/>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43" t="str">
        <f>IF(基本情報入力シート!X135="","",基本情報入力シート!X135)</f>
        <v/>
      </c>
      <c r="K338" s="1268" t="str">
        <f>IF(基本情報入力シート!Y135="","",基本情報入力シート!Y135)</f>
        <v/>
      </c>
      <c r="L338" s="1274"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2173</v>
      </c>
      <c r="U338" s="1433"/>
      <c r="V338" s="1435" t="str">
        <f>IFERROR(VLOOKUP(K338,【参考】数式用!$A$5:$AB$27,MATCH(U338,【参考】数式用!$B$4:$AB$4,0)+1,0),"")</f>
        <v/>
      </c>
      <c r="W338" s="1437" t="s">
        <v>19</v>
      </c>
      <c r="X338" s="1375">
        <v>6</v>
      </c>
      <c r="Y338" s="1377" t="s">
        <v>10</v>
      </c>
      <c r="Z338" s="1375">
        <v>6</v>
      </c>
      <c r="AA338" s="1377" t="s">
        <v>45</v>
      </c>
      <c r="AB338" s="1375">
        <v>7</v>
      </c>
      <c r="AC338" s="1377" t="s">
        <v>10</v>
      </c>
      <c r="AD338" s="1375">
        <v>3</v>
      </c>
      <c r="AE338" s="1377" t="s">
        <v>13</v>
      </c>
      <c r="AF338" s="1377" t="s">
        <v>24</v>
      </c>
      <c r="AG338" s="1377">
        <f>IF(X338&gt;=1,(AB338*12+AD338)-(X338*12+Z338)+1,"")</f>
        <v>10</v>
      </c>
      <c r="AH338" s="1379" t="s">
        <v>38</v>
      </c>
      <c r="AI338" s="1381" t="str">
        <f>IFERROR(ROUNDDOWN(ROUND(L338*V338,0)*M338,0)*AG338,"")</f>
        <v/>
      </c>
      <c r="AJ338" s="1383" t="str">
        <f>IFERROR(ROUNDDOWN(ROUND((L338*(V338-AX338)),0)*M338,0)*AG338,"")</f>
        <v/>
      </c>
      <c r="AK338" s="1385">
        <f>IFERROR(IF(OR(N338="",N339="",N341=""),0,ROUNDDOWN(ROUNDDOWN(ROUND(L338*VLOOKUP(K338,【参考】数式用!$A$5:$AB$27,MATCH("新加算Ⅳ",【参考】数式用!$B$4:$AB$4,0)+1,0),0)*M338,0)*AG338*0.5,0)),"")</f>
        <v>0</v>
      </c>
      <c r="AL338" s="1363"/>
      <c r="AM338" s="138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55">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2098</v>
      </c>
      <c r="BA338" s="1247" t="s">
        <v>2099</v>
      </c>
      <c r="BB338" s="1247" t="s">
        <v>2100</v>
      </c>
      <c r="BC338" s="1247" t="s">
        <v>2101</v>
      </c>
      <c r="BD338" s="1247" t="str">
        <f>IF(AND(P338&lt;&gt;"新加算Ⅰ",P338&lt;&gt;"新加算Ⅱ",P338&lt;&gt;"新加算Ⅲ",P338&lt;&gt;"新加算Ⅳ"),P338,IF(Q340&lt;&gt;"",Q340,""))</f>
        <v/>
      </c>
      <c r="BE338" s="1247"/>
      <c r="BF338" s="1247" t="str">
        <f t="shared" ref="BF338" si="256">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315"/>
      <c r="B339" s="1301"/>
      <c r="C339" s="1302"/>
      <c r="D339" s="1302"/>
      <c r="E339" s="1302"/>
      <c r="F339" s="1303"/>
      <c r="G339" s="1268"/>
      <c r="H339" s="1268"/>
      <c r="I339" s="1268"/>
      <c r="J339" s="1443"/>
      <c r="K339" s="1268"/>
      <c r="L339" s="1274"/>
      <c r="M339" s="1445"/>
      <c r="N339" s="1399" t="str">
        <f>IF('別紙様式2-2（４・５月分）'!Q258="","",'別紙様式2-2（４・５月分）'!Q258)</f>
        <v/>
      </c>
      <c r="O339" s="1420"/>
      <c r="P339" s="1426"/>
      <c r="Q339" s="1427"/>
      <c r="R339" s="1428"/>
      <c r="S339" s="1430"/>
      <c r="T339" s="1432"/>
      <c r="U339" s="1434"/>
      <c r="V339" s="1436"/>
      <c r="W339" s="1438"/>
      <c r="X339" s="1376"/>
      <c r="Y339" s="1378"/>
      <c r="Z339" s="1376"/>
      <c r="AA339" s="1378"/>
      <c r="AB339" s="1376"/>
      <c r="AC339" s="1378"/>
      <c r="AD339" s="1376"/>
      <c r="AE339" s="1378"/>
      <c r="AF339" s="1378"/>
      <c r="AG339" s="1378"/>
      <c r="AH339" s="1380"/>
      <c r="AI339" s="1382"/>
      <c r="AJ339" s="1384"/>
      <c r="AK339" s="1386"/>
      <c r="AL339" s="1364"/>
      <c r="AM339" s="1388"/>
      <c r="AN339" s="1360"/>
      <c r="AO339" s="1390"/>
      <c r="AP339" s="1394"/>
      <c r="AQ339" s="1394"/>
      <c r="AR339" s="1396"/>
      <c r="AS339" s="1348"/>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1"/>
      <c r="C340" s="1302"/>
      <c r="D340" s="1302"/>
      <c r="E340" s="1302"/>
      <c r="F340" s="1303"/>
      <c r="G340" s="1268"/>
      <c r="H340" s="1268"/>
      <c r="I340" s="1268"/>
      <c r="J340" s="1443"/>
      <c r="K340" s="1268"/>
      <c r="L340" s="1274"/>
      <c r="M340" s="1445"/>
      <c r="N340" s="1400"/>
      <c r="O340" s="1421"/>
      <c r="P340" s="1401" t="s">
        <v>2179</v>
      </c>
      <c r="Q340" s="1403" t="str">
        <f>IFERROR(VLOOKUP('別紙様式2-2（４・５月分）'!AR257,【参考】数式用!$AT$5:$AV$22,3,FALSE),"")</f>
        <v/>
      </c>
      <c r="R340" s="1405" t="s">
        <v>2190</v>
      </c>
      <c r="S340" s="1447" t="str">
        <f>IFERROR(VLOOKUP(K338,【参考】数式用!$A$5:$AB$27,MATCH(Q340,【参考】数式用!$B$4:$AB$4,0)+1,0),"")</f>
        <v/>
      </c>
      <c r="T340" s="1409" t="s">
        <v>217</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5" t="s">
        <v>38</v>
      </c>
      <c r="AI340" s="1367" t="str">
        <f>IFERROR(ROUNDDOWN(ROUND(L338*V340,0)*M338,0)*AG340,"")</f>
        <v/>
      </c>
      <c r="AJ340" s="1369" t="str">
        <f>IFERROR(ROUNDDOWN(ROUND((L338*(V340-AX338)),0)*M338,0)*AG340,"")</f>
        <v/>
      </c>
      <c r="AK340" s="1371">
        <f>IFERROR(IF(OR(N338="",N339="",N341=""),0,ROUNDDOWN(ROUNDDOWN(ROUND(L338*VLOOKUP(K338,【参考】数式用!$A$5:$AB$27,MATCH("新加算Ⅳ",【参考】数式用!$B$4:$AB$4,0)+1,0),0)*M338,0)*AG340*0.5,0)),"")</f>
        <v>0</v>
      </c>
      <c r="AL340" s="1361" t="str">
        <f t="shared" ref="AL340" si="258">IF(U340&lt;&gt;"","新規に適用","")</f>
        <v/>
      </c>
      <c r="AM340" s="1373">
        <f>IFERROR(IF(OR(N341="ベア加算",N341=""),0, IF(OR(U338="新加算Ⅰ",U338="新加算Ⅱ",U338="新加算Ⅲ",U338="新加算Ⅳ"),0,ROUNDDOWN(ROUND(L338*VLOOKUP(K338,【参考】数式用!$A$5:$I$27,MATCH("ベア加算",【参考】数式用!$B$4:$I$4,0)+1,0),0)*M338,0)*AG340)),"")</f>
        <v>0</v>
      </c>
      <c r="AN340" s="1345" t="str">
        <f>IF(AND(U340&lt;&gt;"",AN338=""),"新規に適用",IF(AND(U340&lt;&gt;"",AN338&lt;&gt;""),"継続で適用",""))</f>
        <v/>
      </c>
      <c r="AO340" s="1345" t="str">
        <f>IF(AND(U340&lt;&gt;"",AO338=""),"新規に適用",IF(AND(U340&lt;&gt;"",AO338&lt;&gt;""),"継続で適用",""))</f>
        <v/>
      </c>
      <c r="AP340" s="1391"/>
      <c r="AQ340" s="1345" t="str">
        <f>IF(AND(U340&lt;&gt;"",AQ338=""),"新規に適用",IF(AND(U340&lt;&gt;"",AQ338&lt;&gt;""),"継続で適用",""))</f>
        <v/>
      </c>
      <c r="AR340" s="1349" t="str">
        <f t="shared" si="223"/>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316"/>
      <c r="B341" s="1439"/>
      <c r="C341" s="1440"/>
      <c r="D341" s="1440"/>
      <c r="E341" s="1440"/>
      <c r="F341" s="1441"/>
      <c r="G341" s="1269"/>
      <c r="H341" s="1269"/>
      <c r="I341" s="1269"/>
      <c r="J341" s="1444"/>
      <c r="K341" s="1269"/>
      <c r="L341" s="1275"/>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66"/>
      <c r="AI341" s="1368"/>
      <c r="AJ341" s="1370"/>
      <c r="AK341" s="1372"/>
      <c r="AL341" s="1362"/>
      <c r="AM341" s="1374"/>
      <c r="AN341" s="1346"/>
      <c r="AO341" s="1346"/>
      <c r="AP341" s="1392"/>
      <c r="AQ341" s="1346"/>
      <c r="AR341" s="1350"/>
      <c r="AS341" s="1346"/>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314">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4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2173</v>
      </c>
      <c r="U342" s="1433"/>
      <c r="V342" s="1435" t="str">
        <f>IFERROR(VLOOKUP(K342,【参考】数式用!$A$5:$AB$27,MATCH(U342,【参考】数式用!$B$4:$AB$4,0)+1,0),"")</f>
        <v/>
      </c>
      <c r="W342" s="1437" t="s">
        <v>19</v>
      </c>
      <c r="X342" s="1375">
        <v>6</v>
      </c>
      <c r="Y342" s="1377" t="s">
        <v>10</v>
      </c>
      <c r="Z342" s="1375">
        <v>6</v>
      </c>
      <c r="AA342" s="1377" t="s">
        <v>45</v>
      </c>
      <c r="AB342" s="1375">
        <v>7</v>
      </c>
      <c r="AC342" s="1377" t="s">
        <v>10</v>
      </c>
      <c r="AD342" s="1375">
        <v>3</v>
      </c>
      <c r="AE342" s="1377" t="s">
        <v>13</v>
      </c>
      <c r="AF342" s="1377" t="s">
        <v>24</v>
      </c>
      <c r="AG342" s="1377">
        <f>IF(X342&gt;=1,(AB342*12+AD342)-(X342*12+Z342)+1,"")</f>
        <v>10</v>
      </c>
      <c r="AH342" s="1379" t="s">
        <v>38</v>
      </c>
      <c r="AI342" s="1381" t="str">
        <f>IFERROR(ROUNDDOWN(ROUND(L342*V342,0)*M342,0)*AG342,"")</f>
        <v/>
      </c>
      <c r="AJ342" s="1383" t="str">
        <f>IFERROR(ROUNDDOWN(ROUND((L342*(V342-AX342)),0)*M342,0)*AG342,"")</f>
        <v/>
      </c>
      <c r="AK342" s="1385">
        <f>IFERROR(IF(OR(N342="",N343="",N345=""),0,ROUNDDOWN(ROUNDDOWN(ROUND(L342*VLOOKUP(K342,【参考】数式用!$A$5:$AB$27,MATCH("新加算Ⅳ",【参考】数式用!$B$4:$AB$4,0)+1,0),0)*M342,0)*AG342*0.5,0)),"")</f>
        <v>0</v>
      </c>
      <c r="AL342" s="1363"/>
      <c r="AM342" s="138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55"/>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2098</v>
      </c>
      <c r="BA342" s="1247" t="s">
        <v>2099</v>
      </c>
      <c r="BB342" s="1247" t="s">
        <v>2100</v>
      </c>
      <c r="BC342" s="1247" t="s">
        <v>2101</v>
      </c>
      <c r="BD342" s="1247" t="str">
        <f>IF(AND(P342&lt;&gt;"新加算Ⅰ",P342&lt;&gt;"新加算Ⅱ",P342&lt;&gt;"新加算Ⅲ",P342&lt;&gt;"新加算Ⅳ"),P342,IF(Q344&lt;&gt;"",Q344,""))</f>
        <v/>
      </c>
      <c r="BE342" s="1247"/>
      <c r="BF342" s="1247" t="str">
        <f t="shared" ref="BF342" si="260">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315"/>
      <c r="B343" s="1301"/>
      <c r="C343" s="1302"/>
      <c r="D343" s="1302"/>
      <c r="E343" s="1302"/>
      <c r="F343" s="1303"/>
      <c r="G343" s="1268"/>
      <c r="H343" s="1268"/>
      <c r="I343" s="1268"/>
      <c r="J343" s="1443"/>
      <c r="K343" s="1268"/>
      <c r="L343" s="1274"/>
      <c r="M343" s="1277"/>
      <c r="N343" s="1399" t="str">
        <f>IF('別紙様式2-2（４・５月分）'!Q261="","",'別紙様式2-2（４・５月分）'!Q261)</f>
        <v/>
      </c>
      <c r="O343" s="1420"/>
      <c r="P343" s="1426"/>
      <c r="Q343" s="1427"/>
      <c r="R343" s="1428"/>
      <c r="S343" s="1430"/>
      <c r="T343" s="1432"/>
      <c r="U343" s="1434"/>
      <c r="V343" s="1436"/>
      <c r="W343" s="1438"/>
      <c r="X343" s="1376"/>
      <c r="Y343" s="1378"/>
      <c r="Z343" s="1376"/>
      <c r="AA343" s="1378"/>
      <c r="AB343" s="1376"/>
      <c r="AC343" s="1378"/>
      <c r="AD343" s="1376"/>
      <c r="AE343" s="1378"/>
      <c r="AF343" s="1378"/>
      <c r="AG343" s="1378"/>
      <c r="AH343" s="1380"/>
      <c r="AI343" s="1382"/>
      <c r="AJ343" s="1384"/>
      <c r="AK343" s="1386"/>
      <c r="AL343" s="1364"/>
      <c r="AM343" s="1388"/>
      <c r="AN343" s="1360"/>
      <c r="AO343" s="1390"/>
      <c r="AP343" s="1394"/>
      <c r="AQ343" s="1394"/>
      <c r="AR343" s="1396"/>
      <c r="AS343" s="1348"/>
      <c r="AT343" s="1334" t="str">
        <f t="shared" si="257"/>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1"/>
      <c r="C344" s="1302"/>
      <c r="D344" s="1302"/>
      <c r="E344" s="1302"/>
      <c r="F344" s="1303"/>
      <c r="G344" s="1268"/>
      <c r="H344" s="1268"/>
      <c r="I344" s="1268"/>
      <c r="J344" s="1443"/>
      <c r="K344" s="1268"/>
      <c r="L344" s="1274"/>
      <c r="M344" s="1277"/>
      <c r="N344" s="1400"/>
      <c r="O344" s="1421"/>
      <c r="P344" s="1401" t="s">
        <v>2179</v>
      </c>
      <c r="Q344" s="1403" t="str">
        <f>IFERROR(VLOOKUP('別紙様式2-2（４・５月分）'!AR260,【参考】数式用!$AT$5:$AV$22,3,FALSE),"")</f>
        <v/>
      </c>
      <c r="R344" s="1405" t="s">
        <v>2190</v>
      </c>
      <c r="S344" s="1407" t="str">
        <f>IFERROR(VLOOKUP(K342,【参考】数式用!$A$5:$AB$27,MATCH(Q344,【参考】数式用!$B$4:$AB$4,0)+1,0),"")</f>
        <v/>
      </c>
      <c r="T344" s="1409" t="s">
        <v>217</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5" t="s">
        <v>38</v>
      </c>
      <c r="AI344" s="1367" t="str">
        <f>IFERROR(ROUNDDOWN(ROUND(L342*V344,0)*M342,0)*AG344,"")</f>
        <v/>
      </c>
      <c r="AJ344" s="1369" t="str">
        <f>IFERROR(ROUNDDOWN(ROUND((L342*(V344-AX342)),0)*M342,0)*AG344,"")</f>
        <v/>
      </c>
      <c r="AK344" s="1371">
        <f>IFERROR(IF(OR(N342="",N343="",N345=""),0,ROUNDDOWN(ROUNDDOWN(ROUND(L342*VLOOKUP(K342,【参考】数式用!$A$5:$AB$27,MATCH("新加算Ⅳ",【参考】数式用!$B$4:$AB$4,0)+1,0),0)*M342,0)*AG344*0.5,0)),"")</f>
        <v>0</v>
      </c>
      <c r="AL344" s="1361" t="str">
        <f t="shared" ref="AL344" si="261">IF(U344&lt;&gt;"","新規に適用","")</f>
        <v/>
      </c>
      <c r="AM344" s="1373">
        <f>IFERROR(IF(OR(N345="ベア加算",N345=""),0, IF(OR(U342="新加算Ⅰ",U342="新加算Ⅱ",U342="新加算Ⅲ",U342="新加算Ⅳ"),0,ROUNDDOWN(ROUND(L342*VLOOKUP(K342,【参考】数式用!$A$5:$I$27,MATCH("ベア加算",【参考】数式用!$B$4:$I$4,0)+1,0),0)*M342,0)*AG344)),"")</f>
        <v>0</v>
      </c>
      <c r="AN344" s="1345" t="str">
        <f>IF(AND(U344&lt;&gt;"",AN342=""),"新規に適用",IF(AND(U344&lt;&gt;"",AN342&lt;&gt;""),"継続で適用",""))</f>
        <v/>
      </c>
      <c r="AO344" s="1345" t="str">
        <f>IF(AND(U344&lt;&gt;"",AO342=""),"新規に適用",IF(AND(U344&lt;&gt;"",AO342&lt;&gt;""),"継続で適用",""))</f>
        <v/>
      </c>
      <c r="AP344" s="1391"/>
      <c r="AQ344" s="1345" t="str">
        <f>IF(AND(U344&lt;&gt;"",AQ342=""),"新規に適用",IF(AND(U344&lt;&gt;"",AQ342&lt;&gt;""),"継続で適用",""))</f>
        <v/>
      </c>
      <c r="AR344" s="1349" t="str">
        <f t="shared" si="223"/>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316"/>
      <c r="B345" s="1439"/>
      <c r="C345" s="1440"/>
      <c r="D345" s="1440"/>
      <c r="E345" s="1440"/>
      <c r="F345" s="1441"/>
      <c r="G345" s="1269"/>
      <c r="H345" s="1269"/>
      <c r="I345" s="1269"/>
      <c r="J345" s="1444"/>
      <c r="K345" s="1269"/>
      <c r="L345" s="1275"/>
      <c r="M345" s="1278"/>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66"/>
      <c r="AI345" s="1368"/>
      <c r="AJ345" s="1370"/>
      <c r="AK345" s="1372"/>
      <c r="AL345" s="1362"/>
      <c r="AM345" s="1374"/>
      <c r="AN345" s="1346"/>
      <c r="AO345" s="1346"/>
      <c r="AP345" s="1392"/>
      <c r="AQ345" s="1346"/>
      <c r="AR345" s="1350"/>
      <c r="AS345" s="1346"/>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43" t="str">
        <f>IF(基本情報入力シート!X137="","",基本情報入力シート!X137)</f>
        <v/>
      </c>
      <c r="K346" s="1268" t="str">
        <f>IF(基本情報入力シート!Y137="","",基本情報入力シート!Y137)</f>
        <v/>
      </c>
      <c r="L346" s="1274"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2173</v>
      </c>
      <c r="U346" s="1433"/>
      <c r="V346" s="1435" t="str">
        <f>IFERROR(VLOOKUP(K346,【参考】数式用!$A$5:$AB$27,MATCH(U346,【参考】数式用!$B$4:$AB$4,0)+1,0),"")</f>
        <v/>
      </c>
      <c r="W346" s="1437" t="s">
        <v>19</v>
      </c>
      <c r="X346" s="1375">
        <v>6</v>
      </c>
      <c r="Y346" s="1377" t="s">
        <v>10</v>
      </c>
      <c r="Z346" s="1375">
        <v>6</v>
      </c>
      <c r="AA346" s="1377" t="s">
        <v>45</v>
      </c>
      <c r="AB346" s="1375">
        <v>7</v>
      </c>
      <c r="AC346" s="1377" t="s">
        <v>10</v>
      </c>
      <c r="AD346" s="1375">
        <v>3</v>
      </c>
      <c r="AE346" s="1377" t="s">
        <v>13</v>
      </c>
      <c r="AF346" s="1377" t="s">
        <v>24</v>
      </c>
      <c r="AG346" s="1377">
        <f>IF(X346&gt;=1,(AB346*12+AD346)-(X346*12+Z346)+1,"")</f>
        <v>10</v>
      </c>
      <c r="AH346" s="1379" t="s">
        <v>38</v>
      </c>
      <c r="AI346" s="1381" t="str">
        <f>IFERROR(ROUNDDOWN(ROUND(L346*V346,0)*M346,0)*AG346,"")</f>
        <v/>
      </c>
      <c r="AJ346" s="1383" t="str">
        <f>IFERROR(ROUNDDOWN(ROUND((L346*(V346-AX346)),0)*M346,0)*AG346,"")</f>
        <v/>
      </c>
      <c r="AK346" s="1385">
        <f>IFERROR(IF(OR(N346="",N347="",N349=""),0,ROUNDDOWN(ROUNDDOWN(ROUND(L346*VLOOKUP(K346,【参考】数式用!$A$5:$AB$27,MATCH("新加算Ⅳ",【参考】数式用!$B$4:$AB$4,0)+1,0),0)*M346,0)*AG346*0.5,0)),"")</f>
        <v>0</v>
      </c>
      <c r="AL346" s="1363"/>
      <c r="AM346" s="138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55"/>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2098</v>
      </c>
      <c r="BA346" s="1247" t="s">
        <v>2099</v>
      </c>
      <c r="BB346" s="1247" t="s">
        <v>2100</v>
      </c>
      <c r="BC346" s="1247" t="s">
        <v>2101</v>
      </c>
      <c r="BD346" s="1247" t="str">
        <f>IF(AND(P346&lt;&gt;"新加算Ⅰ",P346&lt;&gt;"新加算Ⅱ",P346&lt;&gt;"新加算Ⅲ",P346&lt;&gt;"新加算Ⅳ"),P346,IF(Q348&lt;&gt;"",Q348,""))</f>
        <v/>
      </c>
      <c r="BE346" s="1247"/>
      <c r="BF346" s="1247" t="str">
        <f t="shared" ref="BF346" si="263">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315"/>
      <c r="B347" s="1301"/>
      <c r="C347" s="1302"/>
      <c r="D347" s="1302"/>
      <c r="E347" s="1302"/>
      <c r="F347" s="1303"/>
      <c r="G347" s="1268"/>
      <c r="H347" s="1268"/>
      <c r="I347" s="1268"/>
      <c r="J347" s="1443"/>
      <c r="K347" s="1268"/>
      <c r="L347" s="1274"/>
      <c r="M347" s="1445"/>
      <c r="N347" s="1399" t="str">
        <f>IF('別紙様式2-2（４・５月分）'!Q264="","",'別紙様式2-2（４・５月分）'!Q264)</f>
        <v/>
      </c>
      <c r="O347" s="1420"/>
      <c r="P347" s="1426"/>
      <c r="Q347" s="1427"/>
      <c r="R347" s="1428"/>
      <c r="S347" s="1430"/>
      <c r="T347" s="1432"/>
      <c r="U347" s="1434"/>
      <c r="V347" s="1436"/>
      <c r="W347" s="1438"/>
      <c r="X347" s="1376"/>
      <c r="Y347" s="1378"/>
      <c r="Z347" s="1376"/>
      <c r="AA347" s="1378"/>
      <c r="AB347" s="1376"/>
      <c r="AC347" s="1378"/>
      <c r="AD347" s="1376"/>
      <c r="AE347" s="1378"/>
      <c r="AF347" s="1378"/>
      <c r="AG347" s="1378"/>
      <c r="AH347" s="1380"/>
      <c r="AI347" s="1382"/>
      <c r="AJ347" s="1384"/>
      <c r="AK347" s="1386"/>
      <c r="AL347" s="1364"/>
      <c r="AM347" s="1388"/>
      <c r="AN347" s="1360"/>
      <c r="AO347" s="1390"/>
      <c r="AP347" s="1394"/>
      <c r="AQ347" s="1394"/>
      <c r="AR347" s="1396"/>
      <c r="AS347" s="1348"/>
      <c r="AT347" s="1334" t="str">
        <f t="shared" si="257"/>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1"/>
      <c r="C348" s="1302"/>
      <c r="D348" s="1302"/>
      <c r="E348" s="1302"/>
      <c r="F348" s="1303"/>
      <c r="G348" s="1268"/>
      <c r="H348" s="1268"/>
      <c r="I348" s="1268"/>
      <c r="J348" s="1443"/>
      <c r="K348" s="1268"/>
      <c r="L348" s="1274"/>
      <c r="M348" s="1445"/>
      <c r="N348" s="1400"/>
      <c r="O348" s="1421"/>
      <c r="P348" s="1401" t="s">
        <v>2179</v>
      </c>
      <c r="Q348" s="1403" t="str">
        <f>IFERROR(VLOOKUP('別紙様式2-2（４・５月分）'!AR263,【参考】数式用!$AT$5:$AV$22,3,FALSE),"")</f>
        <v/>
      </c>
      <c r="R348" s="1405" t="s">
        <v>2190</v>
      </c>
      <c r="S348" s="1447" t="str">
        <f>IFERROR(VLOOKUP(K346,【参考】数式用!$A$5:$AB$27,MATCH(Q348,【参考】数式用!$B$4:$AB$4,0)+1,0),"")</f>
        <v/>
      </c>
      <c r="T348" s="1409" t="s">
        <v>217</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5" t="s">
        <v>38</v>
      </c>
      <c r="AI348" s="1367" t="str">
        <f>IFERROR(ROUNDDOWN(ROUND(L346*V348,0)*M346,0)*AG348,"")</f>
        <v/>
      </c>
      <c r="AJ348" s="1369" t="str">
        <f>IFERROR(ROUNDDOWN(ROUND((L346*(V348-AX346)),0)*M346,0)*AG348,"")</f>
        <v/>
      </c>
      <c r="AK348" s="1371">
        <f>IFERROR(IF(OR(N346="",N347="",N349=""),0,ROUNDDOWN(ROUNDDOWN(ROUND(L346*VLOOKUP(K346,【参考】数式用!$A$5:$AB$27,MATCH("新加算Ⅳ",【参考】数式用!$B$4:$AB$4,0)+1,0),0)*M346,0)*AG348*0.5,0)),"")</f>
        <v>0</v>
      </c>
      <c r="AL348" s="1361" t="str">
        <f t="shared" ref="AL348" si="264">IF(U348&lt;&gt;"","新規に適用","")</f>
        <v/>
      </c>
      <c r="AM348" s="1373">
        <f>IFERROR(IF(OR(N349="ベア加算",N349=""),0, IF(OR(U346="新加算Ⅰ",U346="新加算Ⅱ",U346="新加算Ⅲ",U346="新加算Ⅳ"),0,ROUNDDOWN(ROUND(L346*VLOOKUP(K346,【参考】数式用!$A$5:$I$27,MATCH("ベア加算",【参考】数式用!$B$4:$I$4,0)+1,0),0)*M346,0)*AG348)),"")</f>
        <v>0</v>
      </c>
      <c r="AN348" s="1345" t="str">
        <f>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23"/>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316"/>
      <c r="B349" s="1439"/>
      <c r="C349" s="1440"/>
      <c r="D349" s="1440"/>
      <c r="E349" s="1440"/>
      <c r="F349" s="1441"/>
      <c r="G349" s="1269"/>
      <c r="H349" s="1269"/>
      <c r="I349" s="1269"/>
      <c r="J349" s="1444"/>
      <c r="K349" s="1269"/>
      <c r="L349" s="1275"/>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66"/>
      <c r="AI349" s="1368"/>
      <c r="AJ349" s="1370"/>
      <c r="AK349" s="1372"/>
      <c r="AL349" s="1362"/>
      <c r="AM349" s="1374"/>
      <c r="AN349" s="1346"/>
      <c r="AO349" s="1346"/>
      <c r="AP349" s="1392"/>
      <c r="AQ349" s="1346"/>
      <c r="AR349" s="1350"/>
      <c r="AS349" s="1346"/>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314">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4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2173</v>
      </c>
      <c r="U350" s="1433"/>
      <c r="V350" s="1435" t="str">
        <f>IFERROR(VLOOKUP(K350,【参考】数式用!$A$5:$AB$27,MATCH(U350,【参考】数式用!$B$4:$AB$4,0)+1,0),"")</f>
        <v/>
      </c>
      <c r="W350" s="1437" t="s">
        <v>19</v>
      </c>
      <c r="X350" s="1375">
        <v>6</v>
      </c>
      <c r="Y350" s="1377" t="s">
        <v>10</v>
      </c>
      <c r="Z350" s="1375">
        <v>6</v>
      </c>
      <c r="AA350" s="1377" t="s">
        <v>45</v>
      </c>
      <c r="AB350" s="1375">
        <v>7</v>
      </c>
      <c r="AC350" s="1377" t="s">
        <v>10</v>
      </c>
      <c r="AD350" s="1375">
        <v>3</v>
      </c>
      <c r="AE350" s="1377" t="s">
        <v>13</v>
      </c>
      <c r="AF350" s="1377" t="s">
        <v>24</v>
      </c>
      <c r="AG350" s="1377">
        <f>IF(X350&gt;=1,(AB350*12+AD350)-(X350*12+Z350)+1,"")</f>
        <v>10</v>
      </c>
      <c r="AH350" s="1379" t="s">
        <v>38</v>
      </c>
      <c r="AI350" s="1381" t="str">
        <f>IFERROR(ROUNDDOWN(ROUND(L350*V350,0)*M350,0)*AG350,"")</f>
        <v/>
      </c>
      <c r="AJ350" s="1383" t="str">
        <f>IFERROR(ROUNDDOWN(ROUND((L350*(V350-AX350)),0)*M350,0)*AG350,"")</f>
        <v/>
      </c>
      <c r="AK350" s="1385">
        <f>IFERROR(IF(OR(N350="",N351="",N353=""),0,ROUNDDOWN(ROUNDDOWN(ROUND(L350*VLOOKUP(K350,【参考】数式用!$A$5:$AB$27,MATCH("新加算Ⅳ",【参考】数式用!$B$4:$AB$4,0)+1,0),0)*M350,0)*AG350*0.5,0)),"")</f>
        <v>0</v>
      </c>
      <c r="AL350" s="1363"/>
      <c r="AM350" s="138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55"/>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2098</v>
      </c>
      <c r="BA350" s="1247" t="s">
        <v>2099</v>
      </c>
      <c r="BB350" s="1247" t="s">
        <v>2100</v>
      </c>
      <c r="BC350" s="1247" t="s">
        <v>2101</v>
      </c>
      <c r="BD350" s="1247" t="str">
        <f>IF(AND(P350&lt;&gt;"新加算Ⅰ",P350&lt;&gt;"新加算Ⅱ",P350&lt;&gt;"新加算Ⅲ",P350&lt;&gt;"新加算Ⅳ"),P350,IF(Q352&lt;&gt;"",Q352,""))</f>
        <v/>
      </c>
      <c r="BE350" s="1247"/>
      <c r="BF350" s="1247" t="str">
        <f t="shared" ref="BF350" si="266">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315"/>
      <c r="B351" s="1301"/>
      <c r="C351" s="1302"/>
      <c r="D351" s="1302"/>
      <c r="E351" s="1302"/>
      <c r="F351" s="1303"/>
      <c r="G351" s="1268"/>
      <c r="H351" s="1268"/>
      <c r="I351" s="1268"/>
      <c r="J351" s="1443"/>
      <c r="K351" s="1268"/>
      <c r="L351" s="1274"/>
      <c r="M351" s="1277"/>
      <c r="N351" s="1399" t="str">
        <f>IF('別紙様式2-2（４・５月分）'!Q267="","",'別紙様式2-2（４・５月分）'!Q267)</f>
        <v/>
      </c>
      <c r="O351" s="1420"/>
      <c r="P351" s="1426"/>
      <c r="Q351" s="1427"/>
      <c r="R351" s="1428"/>
      <c r="S351" s="1430"/>
      <c r="T351" s="1432"/>
      <c r="U351" s="1434"/>
      <c r="V351" s="1436"/>
      <c r="W351" s="1438"/>
      <c r="X351" s="1376"/>
      <c r="Y351" s="1378"/>
      <c r="Z351" s="1376"/>
      <c r="AA351" s="1378"/>
      <c r="AB351" s="1376"/>
      <c r="AC351" s="1378"/>
      <c r="AD351" s="1376"/>
      <c r="AE351" s="1378"/>
      <c r="AF351" s="1378"/>
      <c r="AG351" s="1378"/>
      <c r="AH351" s="1380"/>
      <c r="AI351" s="1382"/>
      <c r="AJ351" s="1384"/>
      <c r="AK351" s="1386"/>
      <c r="AL351" s="1364"/>
      <c r="AM351" s="1388"/>
      <c r="AN351" s="1360"/>
      <c r="AO351" s="1390"/>
      <c r="AP351" s="1394"/>
      <c r="AQ351" s="1394"/>
      <c r="AR351" s="1396"/>
      <c r="AS351" s="1348"/>
      <c r="AT351" s="1334" t="str">
        <f t="shared" si="257"/>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1"/>
      <c r="C352" s="1302"/>
      <c r="D352" s="1302"/>
      <c r="E352" s="1302"/>
      <c r="F352" s="1303"/>
      <c r="G352" s="1268"/>
      <c r="H352" s="1268"/>
      <c r="I352" s="1268"/>
      <c r="J352" s="1443"/>
      <c r="K352" s="1268"/>
      <c r="L352" s="1274"/>
      <c r="M352" s="1277"/>
      <c r="N352" s="1400"/>
      <c r="O352" s="1421"/>
      <c r="P352" s="1401" t="s">
        <v>2179</v>
      </c>
      <c r="Q352" s="1403" t="str">
        <f>IFERROR(VLOOKUP('別紙様式2-2（４・５月分）'!AR266,【参考】数式用!$AT$5:$AV$22,3,FALSE),"")</f>
        <v/>
      </c>
      <c r="R352" s="1405" t="s">
        <v>2190</v>
      </c>
      <c r="S352" s="1407" t="str">
        <f>IFERROR(VLOOKUP(K350,【参考】数式用!$A$5:$AB$27,MATCH(Q352,【参考】数式用!$B$4:$AB$4,0)+1,0),"")</f>
        <v/>
      </c>
      <c r="T352" s="1409" t="s">
        <v>217</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5" t="s">
        <v>38</v>
      </c>
      <c r="AI352" s="1367" t="str">
        <f>IFERROR(ROUNDDOWN(ROUND(L350*V352,0)*M350,0)*AG352,"")</f>
        <v/>
      </c>
      <c r="AJ352" s="1369" t="str">
        <f>IFERROR(ROUNDDOWN(ROUND((L350*(V352-AX350)),0)*M350,0)*AG352,"")</f>
        <v/>
      </c>
      <c r="AK352" s="1371">
        <f>IFERROR(IF(OR(N350="",N351="",N353=""),0,ROUNDDOWN(ROUNDDOWN(ROUND(L350*VLOOKUP(K350,【参考】数式用!$A$5:$AB$27,MATCH("新加算Ⅳ",【参考】数式用!$B$4:$AB$4,0)+1,0),0)*M350,0)*AG352*0.5,0)),"")</f>
        <v>0</v>
      </c>
      <c r="AL352" s="1361" t="str">
        <f t="shared" ref="AL352" si="267">IF(U352&lt;&gt;"","新規に適用","")</f>
        <v/>
      </c>
      <c r="AM352" s="1373">
        <f>IFERROR(IF(OR(N353="ベア加算",N353=""),0, IF(OR(U350="新加算Ⅰ",U350="新加算Ⅱ",U350="新加算Ⅲ",U350="新加算Ⅳ"),0,ROUNDDOWN(ROUND(L350*VLOOKUP(K350,【参考】数式用!$A$5:$I$27,MATCH("ベア加算",【参考】数式用!$B$4:$I$4,0)+1,0),0)*M350,0)*AG352)),"")</f>
        <v>0</v>
      </c>
      <c r="AN352" s="1345" t="str">
        <f>IF(AND(U352&lt;&gt;"",AN350=""),"新規に適用",IF(AND(U352&lt;&gt;"",AN350&lt;&gt;""),"継続で適用",""))</f>
        <v/>
      </c>
      <c r="AO352" s="1345" t="str">
        <f>IF(AND(U352&lt;&gt;"",AO350=""),"新規に適用",IF(AND(U352&lt;&gt;"",AO350&lt;&gt;""),"継続で適用",""))</f>
        <v/>
      </c>
      <c r="AP352" s="1391"/>
      <c r="AQ352" s="1345" t="str">
        <f>IF(AND(U352&lt;&gt;"",AQ350=""),"新規に適用",IF(AND(U352&lt;&gt;"",AQ350&lt;&gt;""),"継続で適用",""))</f>
        <v/>
      </c>
      <c r="AR352" s="1349" t="str">
        <f t="shared" si="223"/>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316"/>
      <c r="B353" s="1439"/>
      <c r="C353" s="1440"/>
      <c r="D353" s="1440"/>
      <c r="E353" s="1440"/>
      <c r="F353" s="1441"/>
      <c r="G353" s="1269"/>
      <c r="H353" s="1269"/>
      <c r="I353" s="1269"/>
      <c r="J353" s="1444"/>
      <c r="K353" s="1269"/>
      <c r="L353" s="1275"/>
      <c r="M353" s="1278"/>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66"/>
      <c r="AI353" s="1368"/>
      <c r="AJ353" s="1370"/>
      <c r="AK353" s="1372"/>
      <c r="AL353" s="1362"/>
      <c r="AM353" s="1374"/>
      <c r="AN353" s="1346"/>
      <c r="AO353" s="1346"/>
      <c r="AP353" s="1392"/>
      <c r="AQ353" s="1346"/>
      <c r="AR353" s="1350"/>
      <c r="AS353" s="1346"/>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43" t="str">
        <f>IF(基本情報入力シート!X139="","",基本情報入力シート!X139)</f>
        <v/>
      </c>
      <c r="K354" s="1268" t="str">
        <f>IF(基本情報入力シート!Y139="","",基本情報入力シート!Y139)</f>
        <v/>
      </c>
      <c r="L354" s="1274"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2173</v>
      </c>
      <c r="U354" s="1433"/>
      <c r="V354" s="1435" t="str">
        <f>IFERROR(VLOOKUP(K354,【参考】数式用!$A$5:$AB$27,MATCH(U354,【参考】数式用!$B$4:$AB$4,0)+1,0),"")</f>
        <v/>
      </c>
      <c r="W354" s="1437" t="s">
        <v>19</v>
      </c>
      <c r="X354" s="1375">
        <v>6</v>
      </c>
      <c r="Y354" s="1377" t="s">
        <v>10</v>
      </c>
      <c r="Z354" s="1375">
        <v>6</v>
      </c>
      <c r="AA354" s="1377" t="s">
        <v>45</v>
      </c>
      <c r="AB354" s="1375">
        <v>7</v>
      </c>
      <c r="AC354" s="1377" t="s">
        <v>10</v>
      </c>
      <c r="AD354" s="1375">
        <v>3</v>
      </c>
      <c r="AE354" s="1377" t="s">
        <v>13</v>
      </c>
      <c r="AF354" s="1377" t="s">
        <v>24</v>
      </c>
      <c r="AG354" s="1377">
        <f>IF(X354&gt;=1,(AB354*12+AD354)-(X354*12+Z354)+1,"")</f>
        <v>10</v>
      </c>
      <c r="AH354" s="1379" t="s">
        <v>38</v>
      </c>
      <c r="AI354" s="1381" t="str">
        <f>IFERROR(ROUNDDOWN(ROUND(L354*V354,0)*M354,0)*AG354,"")</f>
        <v/>
      </c>
      <c r="AJ354" s="1383" t="str">
        <f>IFERROR(ROUNDDOWN(ROUND((L354*(V354-AX354)),0)*M354,0)*AG354,"")</f>
        <v/>
      </c>
      <c r="AK354" s="1385">
        <f>IFERROR(IF(OR(N354="",N355="",N357=""),0,ROUNDDOWN(ROUNDDOWN(ROUND(L354*VLOOKUP(K354,【参考】数式用!$A$5:$AB$27,MATCH("新加算Ⅳ",【参考】数式用!$B$4:$AB$4,0)+1,0),0)*M354,0)*AG354*0.5,0)),"")</f>
        <v>0</v>
      </c>
      <c r="AL354" s="1363"/>
      <c r="AM354" s="138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55"/>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2098</v>
      </c>
      <c r="BA354" s="1247" t="s">
        <v>2099</v>
      </c>
      <c r="BB354" s="1247" t="s">
        <v>2100</v>
      </c>
      <c r="BC354" s="1247" t="s">
        <v>2101</v>
      </c>
      <c r="BD354" s="1247" t="str">
        <f>IF(AND(P354&lt;&gt;"新加算Ⅰ",P354&lt;&gt;"新加算Ⅱ",P354&lt;&gt;"新加算Ⅲ",P354&lt;&gt;"新加算Ⅳ"),P354,IF(Q356&lt;&gt;"",Q356,""))</f>
        <v/>
      </c>
      <c r="BE354" s="1247"/>
      <c r="BF354" s="1247" t="str">
        <f t="shared" ref="BF354" si="269">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315"/>
      <c r="B355" s="1301"/>
      <c r="C355" s="1302"/>
      <c r="D355" s="1302"/>
      <c r="E355" s="1302"/>
      <c r="F355" s="1303"/>
      <c r="G355" s="1268"/>
      <c r="H355" s="1268"/>
      <c r="I355" s="1268"/>
      <c r="J355" s="1443"/>
      <c r="K355" s="1268"/>
      <c r="L355" s="1274"/>
      <c r="M355" s="1445"/>
      <c r="N355" s="1399" t="str">
        <f>IF('別紙様式2-2（４・５月分）'!Q270="","",'別紙様式2-2（４・５月分）'!Q270)</f>
        <v/>
      </c>
      <c r="O355" s="1420"/>
      <c r="P355" s="1426"/>
      <c r="Q355" s="1427"/>
      <c r="R355" s="1428"/>
      <c r="S355" s="1430"/>
      <c r="T355" s="1432"/>
      <c r="U355" s="1434"/>
      <c r="V355" s="1436"/>
      <c r="W355" s="1438"/>
      <c r="X355" s="1376"/>
      <c r="Y355" s="1378"/>
      <c r="Z355" s="1376"/>
      <c r="AA355" s="1378"/>
      <c r="AB355" s="1376"/>
      <c r="AC355" s="1378"/>
      <c r="AD355" s="1376"/>
      <c r="AE355" s="1378"/>
      <c r="AF355" s="1378"/>
      <c r="AG355" s="1378"/>
      <c r="AH355" s="1380"/>
      <c r="AI355" s="1382"/>
      <c r="AJ355" s="1384"/>
      <c r="AK355" s="1386"/>
      <c r="AL355" s="1364"/>
      <c r="AM355" s="1388"/>
      <c r="AN355" s="1360"/>
      <c r="AO355" s="1390"/>
      <c r="AP355" s="1394"/>
      <c r="AQ355" s="1394"/>
      <c r="AR355" s="1396"/>
      <c r="AS355" s="1348"/>
      <c r="AT355" s="1334" t="str">
        <f t="shared" si="257"/>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1"/>
      <c r="C356" s="1302"/>
      <c r="D356" s="1302"/>
      <c r="E356" s="1302"/>
      <c r="F356" s="1303"/>
      <c r="G356" s="1268"/>
      <c r="H356" s="1268"/>
      <c r="I356" s="1268"/>
      <c r="J356" s="1443"/>
      <c r="K356" s="1268"/>
      <c r="L356" s="1274"/>
      <c r="M356" s="1445"/>
      <c r="N356" s="1400"/>
      <c r="O356" s="1421"/>
      <c r="P356" s="1401" t="s">
        <v>2179</v>
      </c>
      <c r="Q356" s="1403" t="str">
        <f>IFERROR(VLOOKUP('別紙様式2-2（４・５月分）'!AR269,【参考】数式用!$AT$5:$AV$22,3,FALSE),"")</f>
        <v/>
      </c>
      <c r="R356" s="1405" t="s">
        <v>2190</v>
      </c>
      <c r="S356" s="1447" t="str">
        <f>IFERROR(VLOOKUP(K354,【参考】数式用!$A$5:$AB$27,MATCH(Q356,【参考】数式用!$B$4:$AB$4,0)+1,0),"")</f>
        <v/>
      </c>
      <c r="T356" s="1409" t="s">
        <v>217</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5" t="s">
        <v>38</v>
      </c>
      <c r="AI356" s="1367" t="str">
        <f>IFERROR(ROUNDDOWN(ROUND(L354*V356,0)*M354,0)*AG356,"")</f>
        <v/>
      </c>
      <c r="AJ356" s="1369" t="str">
        <f>IFERROR(ROUNDDOWN(ROUND((L354*(V356-AX354)),0)*M354,0)*AG356,"")</f>
        <v/>
      </c>
      <c r="AK356" s="1371">
        <f>IFERROR(IF(OR(N354="",N355="",N357=""),0,ROUNDDOWN(ROUNDDOWN(ROUND(L354*VLOOKUP(K354,【参考】数式用!$A$5:$AB$27,MATCH("新加算Ⅳ",【参考】数式用!$B$4:$AB$4,0)+1,0),0)*M354,0)*AG356*0.5,0)),"")</f>
        <v>0</v>
      </c>
      <c r="AL356" s="1361" t="str">
        <f t="shared" ref="AL356" si="270">IF(U356&lt;&gt;"","新規に適用","")</f>
        <v/>
      </c>
      <c r="AM356" s="1373">
        <f>IFERROR(IF(OR(N357="ベア加算",N357=""),0, IF(OR(U354="新加算Ⅰ",U354="新加算Ⅱ",U354="新加算Ⅲ",U354="新加算Ⅳ"),0,ROUNDDOWN(ROUND(L354*VLOOKUP(K354,【参考】数式用!$A$5:$I$27,MATCH("ベア加算",【参考】数式用!$B$4:$I$4,0)+1,0),0)*M354,0)*AG356)),"")</f>
        <v>0</v>
      </c>
      <c r="AN356" s="1345" t="str">
        <f>IF(AND(U356&lt;&gt;"",AN354=""),"新規に適用",IF(AND(U356&lt;&gt;"",AN354&lt;&gt;""),"継続で適用",""))</f>
        <v/>
      </c>
      <c r="AO356" s="1345" t="str">
        <f>IF(AND(U356&lt;&gt;"",AO354=""),"新規に適用",IF(AND(U356&lt;&gt;"",AO354&lt;&gt;""),"継続で適用",""))</f>
        <v/>
      </c>
      <c r="AP356" s="1391"/>
      <c r="AQ356" s="1345" t="str">
        <f>IF(AND(U356&lt;&gt;"",AQ354=""),"新規に適用",IF(AND(U356&lt;&gt;"",AQ354&lt;&gt;""),"継続で適用",""))</f>
        <v/>
      </c>
      <c r="AR356" s="1349" t="str">
        <f t="shared" si="223"/>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316"/>
      <c r="B357" s="1439"/>
      <c r="C357" s="1440"/>
      <c r="D357" s="1440"/>
      <c r="E357" s="1440"/>
      <c r="F357" s="1441"/>
      <c r="G357" s="1269"/>
      <c r="H357" s="1269"/>
      <c r="I357" s="1269"/>
      <c r="J357" s="1444"/>
      <c r="K357" s="1269"/>
      <c r="L357" s="1275"/>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66"/>
      <c r="AI357" s="1368"/>
      <c r="AJ357" s="1370"/>
      <c r="AK357" s="1372"/>
      <c r="AL357" s="1362"/>
      <c r="AM357" s="1374"/>
      <c r="AN357" s="1346"/>
      <c r="AO357" s="1346"/>
      <c r="AP357" s="1392"/>
      <c r="AQ357" s="1346"/>
      <c r="AR357" s="1350"/>
      <c r="AS357" s="1346"/>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314">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4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2173</v>
      </c>
      <c r="U358" s="1433"/>
      <c r="V358" s="1435" t="str">
        <f>IFERROR(VLOOKUP(K358,【参考】数式用!$A$5:$AB$27,MATCH(U358,【参考】数式用!$B$4:$AB$4,0)+1,0),"")</f>
        <v/>
      </c>
      <c r="W358" s="1437" t="s">
        <v>19</v>
      </c>
      <c r="X358" s="1375">
        <v>6</v>
      </c>
      <c r="Y358" s="1377" t="s">
        <v>10</v>
      </c>
      <c r="Z358" s="1375">
        <v>6</v>
      </c>
      <c r="AA358" s="1377" t="s">
        <v>45</v>
      </c>
      <c r="AB358" s="1375">
        <v>7</v>
      </c>
      <c r="AC358" s="1377" t="s">
        <v>10</v>
      </c>
      <c r="AD358" s="1375">
        <v>3</v>
      </c>
      <c r="AE358" s="1377" t="s">
        <v>13</v>
      </c>
      <c r="AF358" s="1377" t="s">
        <v>24</v>
      </c>
      <c r="AG358" s="1377">
        <f>IF(X358&gt;=1,(AB358*12+AD358)-(X358*12+Z358)+1,"")</f>
        <v>10</v>
      </c>
      <c r="AH358" s="1379" t="s">
        <v>38</v>
      </c>
      <c r="AI358" s="1381" t="str">
        <f>IFERROR(ROUNDDOWN(ROUND(L358*V358,0)*M358,0)*AG358,"")</f>
        <v/>
      </c>
      <c r="AJ358" s="1383" t="str">
        <f>IFERROR(ROUNDDOWN(ROUND((L358*(V358-AX358)),0)*M358,0)*AG358,"")</f>
        <v/>
      </c>
      <c r="AK358" s="1385">
        <f>IFERROR(IF(OR(N358="",N359="",N361=""),0,ROUNDDOWN(ROUNDDOWN(ROUND(L358*VLOOKUP(K358,【参考】数式用!$A$5:$AB$27,MATCH("新加算Ⅳ",【参考】数式用!$B$4:$AB$4,0)+1,0),0)*M358,0)*AG358*0.5,0)),"")</f>
        <v>0</v>
      </c>
      <c r="AL358" s="1363"/>
      <c r="AM358" s="138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55"/>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2098</v>
      </c>
      <c r="BA358" s="1247" t="s">
        <v>2099</v>
      </c>
      <c r="BB358" s="1247" t="s">
        <v>2100</v>
      </c>
      <c r="BC358" s="1247" t="s">
        <v>2101</v>
      </c>
      <c r="BD358" s="1247" t="str">
        <f>IF(AND(P358&lt;&gt;"新加算Ⅰ",P358&lt;&gt;"新加算Ⅱ",P358&lt;&gt;"新加算Ⅲ",P358&lt;&gt;"新加算Ⅳ"),P358,IF(Q360&lt;&gt;"",Q360,""))</f>
        <v/>
      </c>
      <c r="BE358" s="1247"/>
      <c r="BF358" s="1247" t="str">
        <f t="shared" ref="BF358" si="272">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315"/>
      <c r="B359" s="1301"/>
      <c r="C359" s="1302"/>
      <c r="D359" s="1302"/>
      <c r="E359" s="1302"/>
      <c r="F359" s="1303"/>
      <c r="G359" s="1268"/>
      <c r="H359" s="1268"/>
      <c r="I359" s="1268"/>
      <c r="J359" s="1443"/>
      <c r="K359" s="1268"/>
      <c r="L359" s="1274"/>
      <c r="M359" s="1277"/>
      <c r="N359" s="1399" t="str">
        <f>IF('別紙様式2-2（４・５月分）'!Q273="","",'別紙様式2-2（４・５月分）'!Q273)</f>
        <v/>
      </c>
      <c r="O359" s="1420"/>
      <c r="P359" s="1426"/>
      <c r="Q359" s="1427"/>
      <c r="R359" s="1428"/>
      <c r="S359" s="1430"/>
      <c r="T359" s="1432"/>
      <c r="U359" s="1434"/>
      <c r="V359" s="1436"/>
      <c r="W359" s="1438"/>
      <c r="X359" s="1376"/>
      <c r="Y359" s="1378"/>
      <c r="Z359" s="1376"/>
      <c r="AA359" s="1378"/>
      <c r="AB359" s="1376"/>
      <c r="AC359" s="1378"/>
      <c r="AD359" s="1376"/>
      <c r="AE359" s="1378"/>
      <c r="AF359" s="1378"/>
      <c r="AG359" s="1378"/>
      <c r="AH359" s="1380"/>
      <c r="AI359" s="1382"/>
      <c r="AJ359" s="1384"/>
      <c r="AK359" s="1386"/>
      <c r="AL359" s="1364"/>
      <c r="AM359" s="1388"/>
      <c r="AN359" s="1360"/>
      <c r="AO359" s="1390"/>
      <c r="AP359" s="1394"/>
      <c r="AQ359" s="1394"/>
      <c r="AR359" s="1396"/>
      <c r="AS359" s="1348"/>
      <c r="AT359" s="1334" t="str">
        <f t="shared" si="257"/>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1"/>
      <c r="C360" s="1302"/>
      <c r="D360" s="1302"/>
      <c r="E360" s="1302"/>
      <c r="F360" s="1303"/>
      <c r="G360" s="1268"/>
      <c r="H360" s="1268"/>
      <c r="I360" s="1268"/>
      <c r="J360" s="1443"/>
      <c r="K360" s="1268"/>
      <c r="L360" s="1274"/>
      <c r="M360" s="1277"/>
      <c r="N360" s="1400"/>
      <c r="O360" s="1421"/>
      <c r="P360" s="1401" t="s">
        <v>2179</v>
      </c>
      <c r="Q360" s="1403" t="str">
        <f>IFERROR(VLOOKUP('別紙様式2-2（４・５月分）'!AR272,【参考】数式用!$AT$5:$AV$22,3,FALSE),"")</f>
        <v/>
      </c>
      <c r="R360" s="1405" t="s">
        <v>2190</v>
      </c>
      <c r="S360" s="1407" t="str">
        <f>IFERROR(VLOOKUP(K358,【参考】数式用!$A$5:$AB$27,MATCH(Q360,【参考】数式用!$B$4:$AB$4,0)+1,0),"")</f>
        <v/>
      </c>
      <c r="T360" s="1409" t="s">
        <v>217</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5" t="s">
        <v>38</v>
      </c>
      <c r="AI360" s="1367" t="str">
        <f>IFERROR(ROUNDDOWN(ROUND(L358*V360,0)*M358,0)*AG360,"")</f>
        <v/>
      </c>
      <c r="AJ360" s="1369" t="str">
        <f>IFERROR(ROUNDDOWN(ROUND((L358*(V360-AX358)),0)*M358,0)*AG360,"")</f>
        <v/>
      </c>
      <c r="AK360" s="1371">
        <f>IFERROR(IF(OR(N358="",N359="",N361=""),0,ROUNDDOWN(ROUNDDOWN(ROUND(L358*VLOOKUP(K358,【参考】数式用!$A$5:$AB$27,MATCH("新加算Ⅳ",【参考】数式用!$B$4:$AB$4,0)+1,0),0)*M358,0)*AG360*0.5,0)),"")</f>
        <v>0</v>
      </c>
      <c r="AL360" s="1361" t="str">
        <f t="shared" ref="AL360" si="273">IF(U360&lt;&gt;"","新規に適用","")</f>
        <v/>
      </c>
      <c r="AM360" s="1373">
        <f>IFERROR(IF(OR(N361="ベア加算",N361=""),0, IF(OR(U358="新加算Ⅰ",U358="新加算Ⅱ",U358="新加算Ⅲ",U358="新加算Ⅳ"),0,ROUNDDOWN(ROUND(L358*VLOOKUP(K358,【参考】数式用!$A$5:$I$27,MATCH("ベア加算",【参考】数式用!$B$4:$I$4,0)+1,0),0)*M358,0)*AG360)),"")</f>
        <v>0</v>
      </c>
      <c r="AN360" s="1345" t="str">
        <f>IF(AND(U360&lt;&gt;"",AN358=""),"新規に適用",IF(AND(U360&lt;&gt;"",AN358&lt;&gt;""),"継続で適用",""))</f>
        <v/>
      </c>
      <c r="AO360" s="1345" t="str">
        <f>IF(AND(U360&lt;&gt;"",AO358=""),"新規に適用",IF(AND(U360&lt;&gt;"",AO358&lt;&gt;""),"継続で適用",""))</f>
        <v/>
      </c>
      <c r="AP360" s="1391"/>
      <c r="AQ360" s="1345" t="str">
        <f>IF(AND(U360&lt;&gt;"",AQ358=""),"新規に適用",IF(AND(U360&lt;&gt;"",AQ358&lt;&gt;""),"継続で適用",""))</f>
        <v/>
      </c>
      <c r="AR360" s="1349"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316"/>
      <c r="B361" s="1439"/>
      <c r="C361" s="1440"/>
      <c r="D361" s="1440"/>
      <c r="E361" s="1440"/>
      <c r="F361" s="1441"/>
      <c r="G361" s="1269"/>
      <c r="H361" s="1269"/>
      <c r="I361" s="1269"/>
      <c r="J361" s="1444"/>
      <c r="K361" s="1269"/>
      <c r="L361" s="1275"/>
      <c r="M361" s="1278"/>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66"/>
      <c r="AI361" s="1368"/>
      <c r="AJ361" s="1370"/>
      <c r="AK361" s="1372"/>
      <c r="AL361" s="1362"/>
      <c r="AM361" s="1374"/>
      <c r="AN361" s="1346"/>
      <c r="AO361" s="1346"/>
      <c r="AP361" s="1392"/>
      <c r="AQ361" s="1346"/>
      <c r="AR361" s="1350"/>
      <c r="AS361" s="1346"/>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43" t="str">
        <f>IF(基本情報入力シート!X141="","",基本情報入力シート!X141)</f>
        <v/>
      </c>
      <c r="K362" s="1268" t="str">
        <f>IF(基本情報入力シート!Y141="","",基本情報入力シート!Y141)</f>
        <v/>
      </c>
      <c r="L362" s="1274"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2173</v>
      </c>
      <c r="U362" s="1433"/>
      <c r="V362" s="1435" t="str">
        <f>IFERROR(VLOOKUP(K362,【参考】数式用!$A$5:$AB$27,MATCH(U362,【参考】数式用!$B$4:$AB$4,0)+1,0),"")</f>
        <v/>
      </c>
      <c r="W362" s="1437" t="s">
        <v>19</v>
      </c>
      <c r="X362" s="1375">
        <v>6</v>
      </c>
      <c r="Y362" s="1377" t="s">
        <v>10</v>
      </c>
      <c r="Z362" s="1375">
        <v>6</v>
      </c>
      <c r="AA362" s="1377" t="s">
        <v>45</v>
      </c>
      <c r="AB362" s="1375">
        <v>7</v>
      </c>
      <c r="AC362" s="1377" t="s">
        <v>10</v>
      </c>
      <c r="AD362" s="1375">
        <v>3</v>
      </c>
      <c r="AE362" s="1377" t="s">
        <v>13</v>
      </c>
      <c r="AF362" s="1377" t="s">
        <v>24</v>
      </c>
      <c r="AG362" s="1377">
        <f>IF(X362&gt;=1,(AB362*12+AD362)-(X362*12+Z362)+1,"")</f>
        <v>10</v>
      </c>
      <c r="AH362" s="1379" t="s">
        <v>38</v>
      </c>
      <c r="AI362" s="1381" t="str">
        <f>IFERROR(ROUNDDOWN(ROUND(L362*V362,0)*M362,0)*AG362,"")</f>
        <v/>
      </c>
      <c r="AJ362" s="1383" t="str">
        <f>IFERROR(ROUNDDOWN(ROUND((L362*(V362-AX362)),0)*M362,0)*AG362,"")</f>
        <v/>
      </c>
      <c r="AK362" s="1385">
        <f>IFERROR(IF(OR(N362="",N363="",N365=""),0,ROUNDDOWN(ROUNDDOWN(ROUND(L362*VLOOKUP(K362,【参考】数式用!$A$5:$AB$27,MATCH("新加算Ⅳ",【参考】数式用!$B$4:$AB$4,0)+1,0),0)*M362,0)*AG362*0.5,0)),"")</f>
        <v>0</v>
      </c>
      <c r="AL362" s="1363"/>
      <c r="AM362" s="138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55"/>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2098</v>
      </c>
      <c r="BA362" s="1247" t="s">
        <v>2099</v>
      </c>
      <c r="BB362" s="1247" t="s">
        <v>2100</v>
      </c>
      <c r="BC362" s="1247" t="s">
        <v>2101</v>
      </c>
      <c r="BD362" s="1247" t="str">
        <f>IF(AND(P362&lt;&gt;"新加算Ⅰ",P362&lt;&gt;"新加算Ⅱ",P362&lt;&gt;"新加算Ⅲ",P362&lt;&gt;"新加算Ⅳ"),P362,IF(Q364&lt;&gt;"",Q364,""))</f>
        <v/>
      </c>
      <c r="BE362" s="1247"/>
      <c r="BF362" s="1247" t="str">
        <f t="shared" ref="BF362" si="276">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315"/>
      <c r="B363" s="1301"/>
      <c r="C363" s="1302"/>
      <c r="D363" s="1302"/>
      <c r="E363" s="1302"/>
      <c r="F363" s="1303"/>
      <c r="G363" s="1268"/>
      <c r="H363" s="1268"/>
      <c r="I363" s="1268"/>
      <c r="J363" s="1443"/>
      <c r="K363" s="1268"/>
      <c r="L363" s="1274"/>
      <c r="M363" s="1445"/>
      <c r="N363" s="1399" t="str">
        <f>IF('別紙様式2-2（４・５月分）'!Q276="","",'別紙様式2-2（４・５月分）'!Q276)</f>
        <v/>
      </c>
      <c r="O363" s="1420"/>
      <c r="P363" s="1426"/>
      <c r="Q363" s="1427"/>
      <c r="R363" s="1428"/>
      <c r="S363" s="1430"/>
      <c r="T363" s="1432"/>
      <c r="U363" s="1434"/>
      <c r="V363" s="1436"/>
      <c r="W363" s="1438"/>
      <c r="X363" s="1376"/>
      <c r="Y363" s="1378"/>
      <c r="Z363" s="1376"/>
      <c r="AA363" s="1378"/>
      <c r="AB363" s="1376"/>
      <c r="AC363" s="1378"/>
      <c r="AD363" s="1376"/>
      <c r="AE363" s="1378"/>
      <c r="AF363" s="1378"/>
      <c r="AG363" s="1378"/>
      <c r="AH363" s="1380"/>
      <c r="AI363" s="1382"/>
      <c r="AJ363" s="1384"/>
      <c r="AK363" s="1386"/>
      <c r="AL363" s="1364"/>
      <c r="AM363" s="1388"/>
      <c r="AN363" s="1360"/>
      <c r="AO363" s="1390"/>
      <c r="AP363" s="1394"/>
      <c r="AQ363" s="1394"/>
      <c r="AR363" s="1396"/>
      <c r="AS363" s="1348"/>
      <c r="AT363" s="1334" t="str">
        <f t="shared" si="257"/>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1"/>
      <c r="C364" s="1302"/>
      <c r="D364" s="1302"/>
      <c r="E364" s="1302"/>
      <c r="F364" s="1303"/>
      <c r="G364" s="1268"/>
      <c r="H364" s="1268"/>
      <c r="I364" s="1268"/>
      <c r="J364" s="1443"/>
      <c r="K364" s="1268"/>
      <c r="L364" s="1274"/>
      <c r="M364" s="1445"/>
      <c r="N364" s="1400"/>
      <c r="O364" s="1421"/>
      <c r="P364" s="1401" t="s">
        <v>2179</v>
      </c>
      <c r="Q364" s="1403" t="str">
        <f>IFERROR(VLOOKUP('別紙様式2-2（４・５月分）'!AR275,【参考】数式用!$AT$5:$AV$22,3,FALSE),"")</f>
        <v/>
      </c>
      <c r="R364" s="1405" t="s">
        <v>2190</v>
      </c>
      <c r="S364" s="1447" t="str">
        <f>IFERROR(VLOOKUP(K362,【参考】数式用!$A$5:$AB$27,MATCH(Q364,【参考】数式用!$B$4:$AB$4,0)+1,0),"")</f>
        <v/>
      </c>
      <c r="T364" s="1409" t="s">
        <v>217</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5" t="s">
        <v>38</v>
      </c>
      <c r="AI364" s="1367" t="str">
        <f>IFERROR(ROUNDDOWN(ROUND(L362*V364,0)*M362,0)*AG364,"")</f>
        <v/>
      </c>
      <c r="AJ364" s="1369" t="str">
        <f>IFERROR(ROUNDDOWN(ROUND((L362*(V364-AX362)),0)*M362,0)*AG364,"")</f>
        <v/>
      </c>
      <c r="AK364" s="1371">
        <f>IFERROR(IF(OR(N362="",N363="",N365=""),0,ROUNDDOWN(ROUNDDOWN(ROUND(L362*VLOOKUP(K362,【参考】数式用!$A$5:$AB$27,MATCH("新加算Ⅳ",【参考】数式用!$B$4:$AB$4,0)+1,0),0)*M362,0)*AG364*0.5,0)),"")</f>
        <v>0</v>
      </c>
      <c r="AL364" s="1361" t="str">
        <f t="shared" ref="AL364" si="277">IF(U364&lt;&gt;"","新規に適用","")</f>
        <v/>
      </c>
      <c r="AM364" s="1373">
        <f>IFERROR(IF(OR(N365="ベア加算",N365=""),0, IF(OR(U362="新加算Ⅰ",U362="新加算Ⅱ",U362="新加算Ⅲ",U362="新加算Ⅳ"),0,ROUNDDOWN(ROUND(L362*VLOOKUP(K362,【参考】数式用!$A$5:$I$27,MATCH("ベア加算",【参考】数式用!$B$4:$I$4,0)+1,0),0)*M362,0)*AG364)),"")</f>
        <v>0</v>
      </c>
      <c r="AN364" s="1345" t="str">
        <f>IF(AND(U364&lt;&gt;"",AN362=""),"新規に適用",IF(AND(U364&lt;&gt;"",AN362&lt;&gt;""),"継続で適用",""))</f>
        <v/>
      </c>
      <c r="AO364" s="1345" t="str">
        <f>IF(AND(U364&lt;&gt;"",AO362=""),"新規に適用",IF(AND(U364&lt;&gt;"",AO362&lt;&gt;""),"継続で適用",""))</f>
        <v/>
      </c>
      <c r="AP364" s="1391"/>
      <c r="AQ364" s="1345" t="str">
        <f>IF(AND(U364&lt;&gt;"",AQ362=""),"新規に適用",IF(AND(U364&lt;&gt;"",AQ362&lt;&gt;""),"継続で適用",""))</f>
        <v/>
      </c>
      <c r="AR364" s="1349" t="str">
        <f t="shared" si="274"/>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316"/>
      <c r="B365" s="1439"/>
      <c r="C365" s="1440"/>
      <c r="D365" s="1440"/>
      <c r="E365" s="1440"/>
      <c r="F365" s="1441"/>
      <c r="G365" s="1269"/>
      <c r="H365" s="1269"/>
      <c r="I365" s="1269"/>
      <c r="J365" s="1444"/>
      <c r="K365" s="1269"/>
      <c r="L365" s="1275"/>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66"/>
      <c r="AI365" s="1368"/>
      <c r="AJ365" s="1370"/>
      <c r="AK365" s="1372"/>
      <c r="AL365" s="1362"/>
      <c r="AM365" s="1374"/>
      <c r="AN365" s="1346"/>
      <c r="AO365" s="1346"/>
      <c r="AP365" s="1392"/>
      <c r="AQ365" s="1346"/>
      <c r="AR365" s="1350"/>
      <c r="AS365" s="1346"/>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314">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4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2173</v>
      </c>
      <c r="U366" s="1433"/>
      <c r="V366" s="1435" t="str">
        <f>IFERROR(VLOOKUP(K366,【参考】数式用!$A$5:$AB$27,MATCH(U366,【参考】数式用!$B$4:$AB$4,0)+1,0),"")</f>
        <v/>
      </c>
      <c r="W366" s="1437" t="s">
        <v>19</v>
      </c>
      <c r="X366" s="1375">
        <v>6</v>
      </c>
      <c r="Y366" s="1377" t="s">
        <v>10</v>
      </c>
      <c r="Z366" s="1375">
        <v>6</v>
      </c>
      <c r="AA366" s="1377" t="s">
        <v>45</v>
      </c>
      <c r="AB366" s="1375">
        <v>7</v>
      </c>
      <c r="AC366" s="1377" t="s">
        <v>10</v>
      </c>
      <c r="AD366" s="1375">
        <v>3</v>
      </c>
      <c r="AE366" s="1377" t="s">
        <v>13</v>
      </c>
      <c r="AF366" s="1377" t="s">
        <v>24</v>
      </c>
      <c r="AG366" s="1377">
        <f>IF(X366&gt;=1,(AB366*12+AD366)-(X366*12+Z366)+1,"")</f>
        <v>10</v>
      </c>
      <c r="AH366" s="1379" t="s">
        <v>38</v>
      </c>
      <c r="AI366" s="1381" t="str">
        <f>IFERROR(ROUNDDOWN(ROUND(L366*V366,0)*M366,0)*AG366,"")</f>
        <v/>
      </c>
      <c r="AJ366" s="1383" t="str">
        <f>IFERROR(ROUNDDOWN(ROUND((L366*(V366-AX366)),0)*M366,0)*AG366,"")</f>
        <v/>
      </c>
      <c r="AK366" s="1385">
        <f>IFERROR(IF(OR(N366="",N367="",N369=""),0,ROUNDDOWN(ROUNDDOWN(ROUND(L366*VLOOKUP(K366,【参考】数式用!$A$5:$AB$27,MATCH("新加算Ⅳ",【参考】数式用!$B$4:$AB$4,0)+1,0),0)*M366,0)*AG366*0.5,0)),"")</f>
        <v>0</v>
      </c>
      <c r="AL366" s="1363"/>
      <c r="AM366" s="138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55"/>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2098</v>
      </c>
      <c r="BA366" s="1247" t="s">
        <v>2099</v>
      </c>
      <c r="BB366" s="1247" t="s">
        <v>2100</v>
      </c>
      <c r="BC366" s="1247" t="s">
        <v>2101</v>
      </c>
      <c r="BD366" s="1247" t="str">
        <f>IF(AND(P366&lt;&gt;"新加算Ⅰ",P366&lt;&gt;"新加算Ⅱ",P366&lt;&gt;"新加算Ⅲ",P366&lt;&gt;"新加算Ⅳ"),P366,IF(Q368&lt;&gt;"",Q368,""))</f>
        <v/>
      </c>
      <c r="BE366" s="1247"/>
      <c r="BF366" s="1247" t="str">
        <f t="shared" ref="BF366" si="279">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315"/>
      <c r="B367" s="1301"/>
      <c r="C367" s="1302"/>
      <c r="D367" s="1302"/>
      <c r="E367" s="1302"/>
      <c r="F367" s="1303"/>
      <c r="G367" s="1268"/>
      <c r="H367" s="1268"/>
      <c r="I367" s="1268"/>
      <c r="J367" s="1443"/>
      <c r="K367" s="1268"/>
      <c r="L367" s="1274"/>
      <c r="M367" s="1277"/>
      <c r="N367" s="1399" t="str">
        <f>IF('別紙様式2-2（４・５月分）'!Q279="","",'別紙様式2-2（４・５月分）'!Q279)</f>
        <v/>
      </c>
      <c r="O367" s="1420"/>
      <c r="P367" s="1426"/>
      <c r="Q367" s="1427"/>
      <c r="R367" s="1428"/>
      <c r="S367" s="1430"/>
      <c r="T367" s="1432"/>
      <c r="U367" s="1434"/>
      <c r="V367" s="1436"/>
      <c r="W367" s="1438"/>
      <c r="X367" s="1376"/>
      <c r="Y367" s="1378"/>
      <c r="Z367" s="1376"/>
      <c r="AA367" s="1378"/>
      <c r="AB367" s="1376"/>
      <c r="AC367" s="1378"/>
      <c r="AD367" s="1376"/>
      <c r="AE367" s="1378"/>
      <c r="AF367" s="1378"/>
      <c r="AG367" s="1378"/>
      <c r="AH367" s="1380"/>
      <c r="AI367" s="1382"/>
      <c r="AJ367" s="1384"/>
      <c r="AK367" s="1386"/>
      <c r="AL367" s="1364"/>
      <c r="AM367" s="1388"/>
      <c r="AN367" s="1360"/>
      <c r="AO367" s="1390"/>
      <c r="AP367" s="1394"/>
      <c r="AQ367" s="1394"/>
      <c r="AR367" s="1396"/>
      <c r="AS367" s="1348"/>
      <c r="AT367" s="1334" t="str">
        <f t="shared" si="257"/>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1"/>
      <c r="C368" s="1302"/>
      <c r="D368" s="1302"/>
      <c r="E368" s="1302"/>
      <c r="F368" s="1303"/>
      <c r="G368" s="1268"/>
      <c r="H368" s="1268"/>
      <c r="I368" s="1268"/>
      <c r="J368" s="1443"/>
      <c r="K368" s="1268"/>
      <c r="L368" s="1274"/>
      <c r="M368" s="1277"/>
      <c r="N368" s="1400"/>
      <c r="O368" s="1421"/>
      <c r="P368" s="1401" t="s">
        <v>2179</v>
      </c>
      <c r="Q368" s="1403" t="str">
        <f>IFERROR(VLOOKUP('別紙様式2-2（４・５月分）'!AR278,【参考】数式用!$AT$5:$AV$22,3,FALSE),"")</f>
        <v/>
      </c>
      <c r="R368" s="1405" t="s">
        <v>2190</v>
      </c>
      <c r="S368" s="1407" t="str">
        <f>IFERROR(VLOOKUP(K366,【参考】数式用!$A$5:$AB$27,MATCH(Q368,【参考】数式用!$B$4:$AB$4,0)+1,0),"")</f>
        <v/>
      </c>
      <c r="T368" s="1409" t="s">
        <v>217</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5" t="s">
        <v>38</v>
      </c>
      <c r="AI368" s="1367" t="str">
        <f>IFERROR(ROUNDDOWN(ROUND(L366*V368,0)*M366,0)*AG368,"")</f>
        <v/>
      </c>
      <c r="AJ368" s="1369" t="str">
        <f>IFERROR(ROUNDDOWN(ROUND((L366*(V368-AX366)),0)*M366,0)*AG368,"")</f>
        <v/>
      </c>
      <c r="AK368" s="1371">
        <f>IFERROR(IF(OR(N366="",N367="",N369=""),0,ROUNDDOWN(ROUNDDOWN(ROUND(L366*VLOOKUP(K366,【参考】数式用!$A$5:$AB$27,MATCH("新加算Ⅳ",【参考】数式用!$B$4:$AB$4,0)+1,0),0)*M366,0)*AG368*0.5,0)),"")</f>
        <v>0</v>
      </c>
      <c r="AL368" s="1361" t="str">
        <f t="shared" ref="AL368" si="280">IF(U368&lt;&gt;"","新規に適用","")</f>
        <v/>
      </c>
      <c r="AM368" s="1373">
        <f>IFERROR(IF(OR(N369="ベア加算",N369=""),0, IF(OR(U366="新加算Ⅰ",U366="新加算Ⅱ",U366="新加算Ⅲ",U366="新加算Ⅳ"),0,ROUNDDOWN(ROUND(L366*VLOOKUP(K366,【参考】数式用!$A$5:$I$27,MATCH("ベア加算",【参考】数式用!$B$4:$I$4,0)+1,0),0)*M366,0)*AG368)),"")</f>
        <v>0</v>
      </c>
      <c r="AN368" s="1345" t="str">
        <f>IF(AND(U368&lt;&gt;"",AN366=""),"新規に適用",IF(AND(U368&lt;&gt;"",AN366&lt;&gt;""),"継続で適用",""))</f>
        <v/>
      </c>
      <c r="AO368" s="1345" t="str">
        <f>IF(AND(U368&lt;&gt;"",AO366=""),"新規に適用",IF(AND(U368&lt;&gt;"",AO366&lt;&gt;""),"継続で適用",""))</f>
        <v/>
      </c>
      <c r="AP368" s="1391"/>
      <c r="AQ368" s="1345" t="str">
        <f>IF(AND(U368&lt;&gt;"",AQ366=""),"新規に適用",IF(AND(U368&lt;&gt;"",AQ366&lt;&gt;""),"継続で適用",""))</f>
        <v/>
      </c>
      <c r="AR368" s="1349" t="str">
        <f t="shared" si="274"/>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316"/>
      <c r="B369" s="1439"/>
      <c r="C369" s="1440"/>
      <c r="D369" s="1440"/>
      <c r="E369" s="1440"/>
      <c r="F369" s="1441"/>
      <c r="G369" s="1269"/>
      <c r="H369" s="1269"/>
      <c r="I369" s="1269"/>
      <c r="J369" s="1444"/>
      <c r="K369" s="1269"/>
      <c r="L369" s="1275"/>
      <c r="M369" s="1278"/>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66"/>
      <c r="AI369" s="1368"/>
      <c r="AJ369" s="1370"/>
      <c r="AK369" s="1372"/>
      <c r="AL369" s="1362"/>
      <c r="AM369" s="1374"/>
      <c r="AN369" s="1346"/>
      <c r="AO369" s="1346"/>
      <c r="AP369" s="1392"/>
      <c r="AQ369" s="1346"/>
      <c r="AR369" s="1350"/>
      <c r="AS369" s="1346"/>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43" t="str">
        <f>IF(基本情報入力シート!X143="","",基本情報入力シート!X143)</f>
        <v/>
      </c>
      <c r="K370" s="1268" t="str">
        <f>IF(基本情報入力シート!Y143="","",基本情報入力シート!Y143)</f>
        <v/>
      </c>
      <c r="L370" s="1274"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2173</v>
      </c>
      <c r="U370" s="1433"/>
      <c r="V370" s="1435" t="str">
        <f>IFERROR(VLOOKUP(K370,【参考】数式用!$A$5:$AB$27,MATCH(U370,【参考】数式用!$B$4:$AB$4,0)+1,0),"")</f>
        <v/>
      </c>
      <c r="W370" s="1437" t="s">
        <v>19</v>
      </c>
      <c r="X370" s="1375">
        <v>6</v>
      </c>
      <c r="Y370" s="1377" t="s">
        <v>10</v>
      </c>
      <c r="Z370" s="1375">
        <v>6</v>
      </c>
      <c r="AA370" s="1377" t="s">
        <v>45</v>
      </c>
      <c r="AB370" s="1375">
        <v>7</v>
      </c>
      <c r="AC370" s="1377" t="s">
        <v>10</v>
      </c>
      <c r="AD370" s="1375">
        <v>3</v>
      </c>
      <c r="AE370" s="1377" t="s">
        <v>13</v>
      </c>
      <c r="AF370" s="1377" t="s">
        <v>24</v>
      </c>
      <c r="AG370" s="1377">
        <f>IF(X370&gt;=1,(AB370*12+AD370)-(X370*12+Z370)+1,"")</f>
        <v>10</v>
      </c>
      <c r="AH370" s="1379" t="s">
        <v>38</v>
      </c>
      <c r="AI370" s="1381" t="str">
        <f>IFERROR(ROUNDDOWN(ROUND(L370*V370,0)*M370,0)*AG370,"")</f>
        <v/>
      </c>
      <c r="AJ370" s="1383" t="str">
        <f>IFERROR(ROUNDDOWN(ROUND((L370*(V370-AX370)),0)*M370,0)*AG370,"")</f>
        <v/>
      </c>
      <c r="AK370" s="1385">
        <f>IFERROR(IF(OR(N370="",N371="",N373=""),0,ROUNDDOWN(ROUNDDOWN(ROUND(L370*VLOOKUP(K370,【参考】数式用!$A$5:$AB$27,MATCH("新加算Ⅳ",【参考】数式用!$B$4:$AB$4,0)+1,0),0)*M370,0)*AG370*0.5,0)),"")</f>
        <v>0</v>
      </c>
      <c r="AL370" s="1363"/>
      <c r="AM370" s="138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55"/>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2098</v>
      </c>
      <c r="BA370" s="1247" t="s">
        <v>2099</v>
      </c>
      <c r="BB370" s="1247" t="s">
        <v>2100</v>
      </c>
      <c r="BC370" s="1247" t="s">
        <v>2101</v>
      </c>
      <c r="BD370" s="1247" t="str">
        <f>IF(AND(P370&lt;&gt;"新加算Ⅰ",P370&lt;&gt;"新加算Ⅱ",P370&lt;&gt;"新加算Ⅲ",P370&lt;&gt;"新加算Ⅳ"),P370,IF(Q372&lt;&gt;"",Q372,""))</f>
        <v/>
      </c>
      <c r="BE370" s="1247"/>
      <c r="BF370" s="1247" t="str">
        <f t="shared" ref="BF370" si="282">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315"/>
      <c r="B371" s="1301"/>
      <c r="C371" s="1302"/>
      <c r="D371" s="1302"/>
      <c r="E371" s="1302"/>
      <c r="F371" s="1303"/>
      <c r="G371" s="1268"/>
      <c r="H371" s="1268"/>
      <c r="I371" s="1268"/>
      <c r="J371" s="1443"/>
      <c r="K371" s="1268"/>
      <c r="L371" s="1274"/>
      <c r="M371" s="1445"/>
      <c r="N371" s="1399" t="str">
        <f>IF('別紙様式2-2（４・５月分）'!Q282="","",'別紙様式2-2（４・５月分）'!Q282)</f>
        <v/>
      </c>
      <c r="O371" s="1420"/>
      <c r="P371" s="1426"/>
      <c r="Q371" s="1427"/>
      <c r="R371" s="1428"/>
      <c r="S371" s="1430"/>
      <c r="T371" s="1432"/>
      <c r="U371" s="1434"/>
      <c r="V371" s="1436"/>
      <c r="W371" s="1438"/>
      <c r="X371" s="1376"/>
      <c r="Y371" s="1378"/>
      <c r="Z371" s="1376"/>
      <c r="AA371" s="1378"/>
      <c r="AB371" s="1376"/>
      <c r="AC371" s="1378"/>
      <c r="AD371" s="1376"/>
      <c r="AE371" s="1378"/>
      <c r="AF371" s="1378"/>
      <c r="AG371" s="1378"/>
      <c r="AH371" s="1380"/>
      <c r="AI371" s="1382"/>
      <c r="AJ371" s="1384"/>
      <c r="AK371" s="1386"/>
      <c r="AL371" s="1364"/>
      <c r="AM371" s="1388"/>
      <c r="AN371" s="1360"/>
      <c r="AO371" s="1390"/>
      <c r="AP371" s="1394"/>
      <c r="AQ371" s="1394"/>
      <c r="AR371" s="1396"/>
      <c r="AS371" s="1348"/>
      <c r="AT371" s="1334" t="str">
        <f t="shared" si="257"/>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1"/>
      <c r="C372" s="1302"/>
      <c r="D372" s="1302"/>
      <c r="E372" s="1302"/>
      <c r="F372" s="1303"/>
      <c r="G372" s="1268"/>
      <c r="H372" s="1268"/>
      <c r="I372" s="1268"/>
      <c r="J372" s="1443"/>
      <c r="K372" s="1268"/>
      <c r="L372" s="1274"/>
      <c r="M372" s="1445"/>
      <c r="N372" s="1400"/>
      <c r="O372" s="1421"/>
      <c r="P372" s="1401" t="s">
        <v>2179</v>
      </c>
      <c r="Q372" s="1403" t="str">
        <f>IFERROR(VLOOKUP('別紙様式2-2（４・５月分）'!AR281,【参考】数式用!$AT$5:$AV$22,3,FALSE),"")</f>
        <v/>
      </c>
      <c r="R372" s="1405" t="s">
        <v>2190</v>
      </c>
      <c r="S372" s="1447" t="str">
        <f>IFERROR(VLOOKUP(K370,【参考】数式用!$A$5:$AB$27,MATCH(Q372,【参考】数式用!$B$4:$AB$4,0)+1,0),"")</f>
        <v/>
      </c>
      <c r="T372" s="1409" t="s">
        <v>217</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5" t="s">
        <v>38</v>
      </c>
      <c r="AI372" s="1367" t="str">
        <f>IFERROR(ROUNDDOWN(ROUND(L370*V372,0)*M370,0)*AG372,"")</f>
        <v/>
      </c>
      <c r="AJ372" s="1369" t="str">
        <f>IFERROR(ROUNDDOWN(ROUND((L370*(V372-AX370)),0)*M370,0)*AG372,"")</f>
        <v/>
      </c>
      <c r="AK372" s="1371">
        <f>IFERROR(IF(OR(N370="",N371="",N373=""),0,ROUNDDOWN(ROUNDDOWN(ROUND(L370*VLOOKUP(K370,【参考】数式用!$A$5:$AB$27,MATCH("新加算Ⅳ",【参考】数式用!$B$4:$AB$4,0)+1,0),0)*M370,0)*AG372*0.5,0)),"")</f>
        <v>0</v>
      </c>
      <c r="AL372" s="1361" t="str">
        <f t="shared" ref="AL372" si="283">IF(U372&lt;&gt;"","新規に適用","")</f>
        <v/>
      </c>
      <c r="AM372" s="1373">
        <f>IFERROR(IF(OR(N373="ベア加算",N373=""),0, IF(OR(U370="新加算Ⅰ",U370="新加算Ⅱ",U370="新加算Ⅲ",U370="新加算Ⅳ"),0,ROUNDDOWN(ROUND(L370*VLOOKUP(K370,【参考】数式用!$A$5:$I$27,MATCH("ベア加算",【参考】数式用!$B$4:$I$4,0)+1,0),0)*M370,0)*AG372)),"")</f>
        <v>0</v>
      </c>
      <c r="AN372" s="1345" t="str">
        <f>IF(AND(U372&lt;&gt;"",AN370=""),"新規に適用",IF(AND(U372&lt;&gt;"",AN370&lt;&gt;""),"継続で適用",""))</f>
        <v/>
      </c>
      <c r="AO372" s="1345" t="str">
        <f>IF(AND(U372&lt;&gt;"",AO370=""),"新規に適用",IF(AND(U372&lt;&gt;"",AO370&lt;&gt;""),"継続で適用",""))</f>
        <v/>
      </c>
      <c r="AP372" s="1391"/>
      <c r="AQ372" s="1345" t="str">
        <f>IF(AND(U372&lt;&gt;"",AQ370=""),"新規に適用",IF(AND(U372&lt;&gt;"",AQ370&lt;&gt;""),"継続で適用",""))</f>
        <v/>
      </c>
      <c r="AR372" s="1349" t="str">
        <f t="shared" si="274"/>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316"/>
      <c r="B373" s="1439"/>
      <c r="C373" s="1440"/>
      <c r="D373" s="1440"/>
      <c r="E373" s="1440"/>
      <c r="F373" s="1441"/>
      <c r="G373" s="1269"/>
      <c r="H373" s="1269"/>
      <c r="I373" s="1269"/>
      <c r="J373" s="1444"/>
      <c r="K373" s="1269"/>
      <c r="L373" s="1275"/>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66"/>
      <c r="AI373" s="1368"/>
      <c r="AJ373" s="1370"/>
      <c r="AK373" s="1372"/>
      <c r="AL373" s="1362"/>
      <c r="AM373" s="1374"/>
      <c r="AN373" s="1346"/>
      <c r="AO373" s="1346"/>
      <c r="AP373" s="1392"/>
      <c r="AQ373" s="1346"/>
      <c r="AR373" s="1350"/>
      <c r="AS373" s="1346"/>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314">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43" t="str">
        <f>IF(基本情報入力シート!X144="","",基本情報入力シート!X144)</f>
        <v/>
      </c>
      <c r="K374" s="1268" t="str">
        <f>IF(基本情報入力シート!Y144="","",基本情報入力シート!Y144)</f>
        <v/>
      </c>
      <c r="L374" s="1274"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2173</v>
      </c>
      <c r="U374" s="1433"/>
      <c r="V374" s="1435" t="str">
        <f>IFERROR(VLOOKUP(K374,【参考】数式用!$A$5:$AB$27,MATCH(U374,【参考】数式用!$B$4:$AB$4,0)+1,0),"")</f>
        <v/>
      </c>
      <c r="W374" s="1437" t="s">
        <v>19</v>
      </c>
      <c r="X374" s="1375">
        <v>6</v>
      </c>
      <c r="Y374" s="1377" t="s">
        <v>10</v>
      </c>
      <c r="Z374" s="1375">
        <v>6</v>
      </c>
      <c r="AA374" s="1377" t="s">
        <v>45</v>
      </c>
      <c r="AB374" s="1375">
        <v>7</v>
      </c>
      <c r="AC374" s="1377" t="s">
        <v>10</v>
      </c>
      <c r="AD374" s="1375">
        <v>3</v>
      </c>
      <c r="AE374" s="1377" t="s">
        <v>13</v>
      </c>
      <c r="AF374" s="1377" t="s">
        <v>24</v>
      </c>
      <c r="AG374" s="1377">
        <f>IF(X374&gt;=1,(AB374*12+AD374)-(X374*12+Z374)+1,"")</f>
        <v>10</v>
      </c>
      <c r="AH374" s="1379" t="s">
        <v>38</v>
      </c>
      <c r="AI374" s="1381" t="str">
        <f>IFERROR(ROUNDDOWN(ROUND(L374*V374,0)*M374,0)*AG374,"")</f>
        <v/>
      </c>
      <c r="AJ374" s="1383" t="str">
        <f>IFERROR(ROUNDDOWN(ROUND((L374*(V374-AX374)),0)*M374,0)*AG374,"")</f>
        <v/>
      </c>
      <c r="AK374" s="1385">
        <f>IFERROR(IF(OR(N374="",N375="",N377=""),0,ROUNDDOWN(ROUNDDOWN(ROUND(L374*VLOOKUP(K374,【参考】数式用!$A$5:$AB$27,MATCH("新加算Ⅳ",【参考】数式用!$B$4:$AB$4,0)+1,0),0)*M374,0)*AG374*0.5,0)),"")</f>
        <v>0</v>
      </c>
      <c r="AL374" s="1363"/>
      <c r="AM374" s="138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55"/>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2098</v>
      </c>
      <c r="BA374" s="1247" t="s">
        <v>2099</v>
      </c>
      <c r="BB374" s="1247" t="s">
        <v>2100</v>
      </c>
      <c r="BC374" s="1247" t="s">
        <v>2101</v>
      </c>
      <c r="BD374" s="1247" t="str">
        <f>IF(AND(P374&lt;&gt;"新加算Ⅰ",P374&lt;&gt;"新加算Ⅱ",P374&lt;&gt;"新加算Ⅲ",P374&lt;&gt;"新加算Ⅳ"),P374,IF(Q376&lt;&gt;"",Q376,""))</f>
        <v/>
      </c>
      <c r="BE374" s="1247"/>
      <c r="BF374" s="1247" t="str">
        <f t="shared" ref="BF374" si="285">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315"/>
      <c r="B375" s="1301"/>
      <c r="C375" s="1302"/>
      <c r="D375" s="1302"/>
      <c r="E375" s="1302"/>
      <c r="F375" s="1303"/>
      <c r="G375" s="1268"/>
      <c r="H375" s="1268"/>
      <c r="I375" s="1268"/>
      <c r="J375" s="1443"/>
      <c r="K375" s="1268"/>
      <c r="L375" s="1274"/>
      <c r="M375" s="1445"/>
      <c r="N375" s="1399" t="str">
        <f>IF('別紙様式2-2（４・５月分）'!Q285="","",'別紙様式2-2（４・５月分）'!Q285)</f>
        <v/>
      </c>
      <c r="O375" s="1420"/>
      <c r="P375" s="1426"/>
      <c r="Q375" s="1427"/>
      <c r="R375" s="1428"/>
      <c r="S375" s="1430"/>
      <c r="T375" s="1432"/>
      <c r="U375" s="1434"/>
      <c r="V375" s="1436"/>
      <c r="W375" s="1438"/>
      <c r="X375" s="1376"/>
      <c r="Y375" s="1378"/>
      <c r="Z375" s="1376"/>
      <c r="AA375" s="1378"/>
      <c r="AB375" s="1376"/>
      <c r="AC375" s="1378"/>
      <c r="AD375" s="1376"/>
      <c r="AE375" s="1378"/>
      <c r="AF375" s="1378"/>
      <c r="AG375" s="1378"/>
      <c r="AH375" s="1380"/>
      <c r="AI375" s="1382"/>
      <c r="AJ375" s="1384"/>
      <c r="AK375" s="1386"/>
      <c r="AL375" s="1364"/>
      <c r="AM375" s="1388"/>
      <c r="AN375" s="1360"/>
      <c r="AO375" s="1390"/>
      <c r="AP375" s="1394"/>
      <c r="AQ375" s="1394"/>
      <c r="AR375" s="1396"/>
      <c r="AS375" s="1348"/>
      <c r="AT375" s="1334" t="str">
        <f t="shared" si="257"/>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1"/>
      <c r="C376" s="1302"/>
      <c r="D376" s="1302"/>
      <c r="E376" s="1302"/>
      <c r="F376" s="1303"/>
      <c r="G376" s="1268"/>
      <c r="H376" s="1268"/>
      <c r="I376" s="1268"/>
      <c r="J376" s="1443"/>
      <c r="K376" s="1268"/>
      <c r="L376" s="1274"/>
      <c r="M376" s="1445"/>
      <c r="N376" s="1400"/>
      <c r="O376" s="1421"/>
      <c r="P376" s="1401" t="s">
        <v>2179</v>
      </c>
      <c r="Q376" s="1403" t="str">
        <f>IFERROR(VLOOKUP('別紙様式2-2（４・５月分）'!AR284,【参考】数式用!$AT$5:$AV$22,3,FALSE),"")</f>
        <v/>
      </c>
      <c r="R376" s="1405" t="s">
        <v>2190</v>
      </c>
      <c r="S376" s="1447" t="str">
        <f>IFERROR(VLOOKUP(K374,【参考】数式用!$A$5:$AB$27,MATCH(Q376,【参考】数式用!$B$4:$AB$4,0)+1,0),"")</f>
        <v/>
      </c>
      <c r="T376" s="1409" t="s">
        <v>217</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5" t="s">
        <v>38</v>
      </c>
      <c r="AI376" s="1367" t="str">
        <f>IFERROR(ROUNDDOWN(ROUND(L374*V376,0)*M374,0)*AG376,"")</f>
        <v/>
      </c>
      <c r="AJ376" s="1369" t="str">
        <f>IFERROR(ROUNDDOWN(ROUND((L374*(V376-AX374)),0)*M374,0)*AG376,"")</f>
        <v/>
      </c>
      <c r="AK376" s="1371">
        <f>IFERROR(IF(OR(N374="",N375="",N377=""),0,ROUNDDOWN(ROUNDDOWN(ROUND(L374*VLOOKUP(K374,【参考】数式用!$A$5:$AB$27,MATCH("新加算Ⅳ",【参考】数式用!$B$4:$AB$4,0)+1,0),0)*M374,0)*AG376*0.5,0)),"")</f>
        <v>0</v>
      </c>
      <c r="AL376" s="1361" t="str">
        <f t="shared" ref="AL376" si="286">IF(U376&lt;&gt;"","新規に適用","")</f>
        <v/>
      </c>
      <c r="AM376" s="1373">
        <f>IFERROR(IF(OR(N377="ベア加算",N377=""),0, IF(OR(U374="新加算Ⅰ",U374="新加算Ⅱ",U374="新加算Ⅲ",U374="新加算Ⅳ"),0,ROUNDDOWN(ROUND(L374*VLOOKUP(K374,【参考】数式用!$A$5:$I$27,MATCH("ベア加算",【参考】数式用!$B$4:$I$4,0)+1,0),0)*M374,0)*AG376)),"")</f>
        <v>0</v>
      </c>
      <c r="AN376" s="1345" t="str">
        <f>IF(AND(U376&lt;&gt;"",AN374=""),"新規に適用",IF(AND(U376&lt;&gt;"",AN374&lt;&gt;""),"継続で適用",""))</f>
        <v/>
      </c>
      <c r="AO376" s="1345" t="str">
        <f>IF(AND(U376&lt;&gt;"",AO374=""),"新規に適用",IF(AND(U376&lt;&gt;"",AO374&lt;&gt;""),"継続で適用",""))</f>
        <v/>
      </c>
      <c r="AP376" s="1391"/>
      <c r="AQ376" s="1345" t="str">
        <f>IF(AND(U376&lt;&gt;"",AQ374=""),"新規に適用",IF(AND(U376&lt;&gt;"",AQ374&lt;&gt;""),"継続で適用",""))</f>
        <v/>
      </c>
      <c r="AR376" s="1349" t="str">
        <f t="shared" si="274"/>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316"/>
      <c r="B377" s="1439"/>
      <c r="C377" s="1440"/>
      <c r="D377" s="1440"/>
      <c r="E377" s="1440"/>
      <c r="F377" s="1441"/>
      <c r="G377" s="1269"/>
      <c r="H377" s="1269"/>
      <c r="I377" s="1269"/>
      <c r="J377" s="1444"/>
      <c r="K377" s="1269"/>
      <c r="L377" s="1275"/>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66"/>
      <c r="AI377" s="1368"/>
      <c r="AJ377" s="1370"/>
      <c r="AK377" s="1372"/>
      <c r="AL377" s="1362"/>
      <c r="AM377" s="1374"/>
      <c r="AN377" s="1346"/>
      <c r="AO377" s="1346"/>
      <c r="AP377" s="1392"/>
      <c r="AQ377" s="1346"/>
      <c r="AR377" s="1350"/>
      <c r="AS377" s="1346"/>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4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2173</v>
      </c>
      <c r="U378" s="1433"/>
      <c r="V378" s="1435" t="str">
        <f>IFERROR(VLOOKUP(K378,【参考】数式用!$A$5:$AB$27,MATCH(U378,【参考】数式用!$B$4:$AB$4,0)+1,0),"")</f>
        <v/>
      </c>
      <c r="W378" s="1437" t="s">
        <v>19</v>
      </c>
      <c r="X378" s="1375">
        <v>6</v>
      </c>
      <c r="Y378" s="1377" t="s">
        <v>10</v>
      </c>
      <c r="Z378" s="1375">
        <v>6</v>
      </c>
      <c r="AA378" s="1377" t="s">
        <v>45</v>
      </c>
      <c r="AB378" s="1375">
        <v>7</v>
      </c>
      <c r="AC378" s="1377" t="s">
        <v>10</v>
      </c>
      <c r="AD378" s="1375">
        <v>3</v>
      </c>
      <c r="AE378" s="1377" t="s">
        <v>13</v>
      </c>
      <c r="AF378" s="1377" t="s">
        <v>24</v>
      </c>
      <c r="AG378" s="1377">
        <f>IF(X378&gt;=1,(AB378*12+AD378)-(X378*12+Z378)+1,"")</f>
        <v>10</v>
      </c>
      <c r="AH378" s="1379" t="s">
        <v>38</v>
      </c>
      <c r="AI378" s="1381" t="str">
        <f>IFERROR(ROUNDDOWN(ROUND(L378*V378,0)*M378,0)*AG378,"")</f>
        <v/>
      </c>
      <c r="AJ378" s="1383" t="str">
        <f>IFERROR(ROUNDDOWN(ROUND((L378*(V378-AX378)),0)*M378,0)*AG378,"")</f>
        <v/>
      </c>
      <c r="AK378" s="1385">
        <f>IFERROR(IF(OR(N378="",N379="",N381=""),0,ROUNDDOWN(ROUNDDOWN(ROUND(L378*VLOOKUP(K378,【参考】数式用!$A$5:$AB$27,MATCH("新加算Ⅳ",【参考】数式用!$B$4:$AB$4,0)+1,0),0)*M378,0)*AG378*0.5,0)),"")</f>
        <v>0</v>
      </c>
      <c r="AL378" s="1363"/>
      <c r="AM378" s="138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55"/>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2098</v>
      </c>
      <c r="BA378" s="1247" t="s">
        <v>2099</v>
      </c>
      <c r="BB378" s="1247" t="s">
        <v>2100</v>
      </c>
      <c r="BC378" s="1247" t="s">
        <v>2101</v>
      </c>
      <c r="BD378" s="1247" t="str">
        <f>IF(AND(P378&lt;&gt;"新加算Ⅰ",P378&lt;&gt;"新加算Ⅱ",P378&lt;&gt;"新加算Ⅲ",P378&lt;&gt;"新加算Ⅳ"),P378,IF(Q380&lt;&gt;"",Q380,""))</f>
        <v/>
      </c>
      <c r="BE378" s="1247"/>
      <c r="BF378" s="1247" t="str">
        <f t="shared" ref="BF378" si="288">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315"/>
      <c r="B379" s="1301"/>
      <c r="C379" s="1302"/>
      <c r="D379" s="1302"/>
      <c r="E379" s="1302"/>
      <c r="F379" s="1303"/>
      <c r="G379" s="1268"/>
      <c r="H379" s="1268"/>
      <c r="I379" s="1268"/>
      <c r="J379" s="1443"/>
      <c r="K379" s="1268"/>
      <c r="L379" s="1274"/>
      <c r="M379" s="1277"/>
      <c r="N379" s="1399" t="str">
        <f>IF('別紙様式2-2（４・５月分）'!Q288="","",'別紙様式2-2（４・５月分）'!Q288)</f>
        <v/>
      </c>
      <c r="O379" s="1420"/>
      <c r="P379" s="1426"/>
      <c r="Q379" s="1427"/>
      <c r="R379" s="1428"/>
      <c r="S379" s="1430"/>
      <c r="T379" s="1432"/>
      <c r="U379" s="1434"/>
      <c r="V379" s="1436"/>
      <c r="W379" s="1438"/>
      <c r="X379" s="1376"/>
      <c r="Y379" s="1378"/>
      <c r="Z379" s="1376"/>
      <c r="AA379" s="1378"/>
      <c r="AB379" s="1376"/>
      <c r="AC379" s="1378"/>
      <c r="AD379" s="1376"/>
      <c r="AE379" s="1378"/>
      <c r="AF379" s="1378"/>
      <c r="AG379" s="1378"/>
      <c r="AH379" s="1380"/>
      <c r="AI379" s="1382"/>
      <c r="AJ379" s="1384"/>
      <c r="AK379" s="1386"/>
      <c r="AL379" s="1364"/>
      <c r="AM379" s="1388"/>
      <c r="AN379" s="1360"/>
      <c r="AO379" s="1390"/>
      <c r="AP379" s="1394"/>
      <c r="AQ379" s="1394"/>
      <c r="AR379" s="1396"/>
      <c r="AS379" s="1348"/>
      <c r="AT379" s="1334" t="str">
        <f t="shared" si="257"/>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1"/>
      <c r="C380" s="1302"/>
      <c r="D380" s="1302"/>
      <c r="E380" s="1302"/>
      <c r="F380" s="1303"/>
      <c r="G380" s="1268"/>
      <c r="H380" s="1268"/>
      <c r="I380" s="1268"/>
      <c r="J380" s="1443"/>
      <c r="K380" s="1268"/>
      <c r="L380" s="1274"/>
      <c r="M380" s="1277"/>
      <c r="N380" s="1400"/>
      <c r="O380" s="1421"/>
      <c r="P380" s="1401" t="s">
        <v>2179</v>
      </c>
      <c r="Q380" s="1403" t="str">
        <f>IFERROR(VLOOKUP('別紙様式2-2（４・５月分）'!AR287,【参考】数式用!$AT$5:$AV$22,3,FALSE),"")</f>
        <v/>
      </c>
      <c r="R380" s="1405" t="s">
        <v>2190</v>
      </c>
      <c r="S380" s="1407" t="str">
        <f>IFERROR(VLOOKUP(K378,【参考】数式用!$A$5:$AB$27,MATCH(Q380,【参考】数式用!$B$4:$AB$4,0)+1,0),"")</f>
        <v/>
      </c>
      <c r="T380" s="1409" t="s">
        <v>217</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5" t="s">
        <v>38</v>
      </c>
      <c r="AI380" s="1367" t="str">
        <f>IFERROR(ROUNDDOWN(ROUND(L378*V380,0)*M378,0)*AG380,"")</f>
        <v/>
      </c>
      <c r="AJ380" s="1369" t="str">
        <f>IFERROR(ROUNDDOWN(ROUND((L378*(V380-AX378)),0)*M378,0)*AG380,"")</f>
        <v/>
      </c>
      <c r="AK380" s="1371">
        <f>IFERROR(IF(OR(N378="",N379="",N381=""),0,ROUNDDOWN(ROUNDDOWN(ROUND(L378*VLOOKUP(K378,【参考】数式用!$A$5:$AB$27,MATCH("新加算Ⅳ",【参考】数式用!$B$4:$AB$4,0)+1,0),0)*M378,0)*AG380*0.5,0)),"")</f>
        <v>0</v>
      </c>
      <c r="AL380" s="1361" t="str">
        <f t="shared" ref="AL380" si="289">IF(U380&lt;&gt;"","新規に適用","")</f>
        <v/>
      </c>
      <c r="AM380" s="1373">
        <f>IFERROR(IF(OR(N381="ベア加算",N381=""),0, IF(OR(U378="新加算Ⅰ",U378="新加算Ⅱ",U378="新加算Ⅲ",U378="新加算Ⅳ"),0,ROUNDDOWN(ROUND(L378*VLOOKUP(K378,【参考】数式用!$A$5:$I$27,MATCH("ベア加算",【参考】数式用!$B$4:$I$4,0)+1,0),0)*M378,0)*AG380)),"")</f>
        <v>0</v>
      </c>
      <c r="AN380" s="1345" t="str">
        <f>IF(AND(U380&lt;&gt;"",AN378=""),"新規に適用",IF(AND(U380&lt;&gt;"",AN378&lt;&gt;""),"継続で適用",""))</f>
        <v/>
      </c>
      <c r="AO380" s="1345" t="str">
        <f>IF(AND(U380&lt;&gt;"",AO378=""),"新規に適用",IF(AND(U380&lt;&gt;"",AO378&lt;&gt;""),"継続で適用",""))</f>
        <v/>
      </c>
      <c r="AP380" s="1391"/>
      <c r="AQ380" s="1345" t="str">
        <f>IF(AND(U380&lt;&gt;"",AQ378=""),"新規に適用",IF(AND(U380&lt;&gt;"",AQ378&lt;&gt;""),"継続で適用",""))</f>
        <v/>
      </c>
      <c r="AR380" s="1349" t="str">
        <f t="shared" si="274"/>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316"/>
      <c r="B381" s="1439"/>
      <c r="C381" s="1440"/>
      <c r="D381" s="1440"/>
      <c r="E381" s="1440"/>
      <c r="F381" s="1441"/>
      <c r="G381" s="1269"/>
      <c r="H381" s="1269"/>
      <c r="I381" s="1269"/>
      <c r="J381" s="1444"/>
      <c r="K381" s="1269"/>
      <c r="L381" s="1275"/>
      <c r="M381" s="1278"/>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66"/>
      <c r="AI381" s="1368"/>
      <c r="AJ381" s="1370"/>
      <c r="AK381" s="1372"/>
      <c r="AL381" s="1362"/>
      <c r="AM381" s="1374"/>
      <c r="AN381" s="1346"/>
      <c r="AO381" s="1346"/>
      <c r="AP381" s="1392"/>
      <c r="AQ381" s="1346"/>
      <c r="AR381" s="1350"/>
      <c r="AS381" s="1346"/>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314">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43" t="str">
        <f>IF(基本情報入力シート!X146="","",基本情報入力シート!X146)</f>
        <v/>
      </c>
      <c r="K382" s="1268" t="str">
        <f>IF(基本情報入力シート!Y146="","",基本情報入力シート!Y146)</f>
        <v/>
      </c>
      <c r="L382" s="1274"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2173</v>
      </c>
      <c r="U382" s="1433"/>
      <c r="V382" s="1435" t="str">
        <f>IFERROR(VLOOKUP(K382,【参考】数式用!$A$5:$AB$27,MATCH(U382,【参考】数式用!$B$4:$AB$4,0)+1,0),"")</f>
        <v/>
      </c>
      <c r="W382" s="1437" t="s">
        <v>19</v>
      </c>
      <c r="X382" s="1375">
        <v>6</v>
      </c>
      <c r="Y382" s="1377" t="s">
        <v>10</v>
      </c>
      <c r="Z382" s="1375">
        <v>6</v>
      </c>
      <c r="AA382" s="1377" t="s">
        <v>45</v>
      </c>
      <c r="AB382" s="1375">
        <v>7</v>
      </c>
      <c r="AC382" s="1377" t="s">
        <v>10</v>
      </c>
      <c r="AD382" s="1375">
        <v>3</v>
      </c>
      <c r="AE382" s="1377" t="s">
        <v>13</v>
      </c>
      <c r="AF382" s="1377" t="s">
        <v>24</v>
      </c>
      <c r="AG382" s="1377">
        <f>IF(X382&gt;=1,(AB382*12+AD382)-(X382*12+Z382)+1,"")</f>
        <v>10</v>
      </c>
      <c r="AH382" s="1379" t="s">
        <v>38</v>
      </c>
      <c r="AI382" s="1381" t="str">
        <f>IFERROR(ROUNDDOWN(ROUND(L382*V382,0)*M382,0)*AG382,"")</f>
        <v/>
      </c>
      <c r="AJ382" s="1383" t="str">
        <f>IFERROR(ROUNDDOWN(ROUND((L382*(V382-AX382)),0)*M382,0)*AG382,"")</f>
        <v/>
      </c>
      <c r="AK382" s="1385">
        <f>IFERROR(IF(OR(N382="",N383="",N385=""),0,ROUNDDOWN(ROUNDDOWN(ROUND(L382*VLOOKUP(K382,【参考】数式用!$A$5:$AB$27,MATCH("新加算Ⅳ",【参考】数式用!$B$4:$AB$4,0)+1,0),0)*M382,0)*AG382*0.5,0)),"")</f>
        <v>0</v>
      </c>
      <c r="AL382" s="1363"/>
      <c r="AM382" s="138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55"/>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2098</v>
      </c>
      <c r="BA382" s="1247" t="s">
        <v>2099</v>
      </c>
      <c r="BB382" s="1247" t="s">
        <v>2100</v>
      </c>
      <c r="BC382" s="1247" t="s">
        <v>2101</v>
      </c>
      <c r="BD382" s="1247" t="str">
        <f>IF(AND(P382&lt;&gt;"新加算Ⅰ",P382&lt;&gt;"新加算Ⅱ",P382&lt;&gt;"新加算Ⅲ",P382&lt;&gt;"新加算Ⅳ"),P382,IF(Q384&lt;&gt;"",Q384,""))</f>
        <v/>
      </c>
      <c r="BE382" s="1247"/>
      <c r="BF382" s="1247" t="str">
        <f t="shared" ref="BF382" si="291">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315"/>
      <c r="B383" s="1301"/>
      <c r="C383" s="1302"/>
      <c r="D383" s="1302"/>
      <c r="E383" s="1302"/>
      <c r="F383" s="1303"/>
      <c r="G383" s="1268"/>
      <c r="H383" s="1268"/>
      <c r="I383" s="1268"/>
      <c r="J383" s="1443"/>
      <c r="K383" s="1268"/>
      <c r="L383" s="1274"/>
      <c r="M383" s="1445"/>
      <c r="N383" s="1399" t="str">
        <f>IF('別紙様式2-2（４・５月分）'!Q291="","",'別紙様式2-2（４・５月分）'!Q291)</f>
        <v/>
      </c>
      <c r="O383" s="1420"/>
      <c r="P383" s="1426"/>
      <c r="Q383" s="1427"/>
      <c r="R383" s="1428"/>
      <c r="S383" s="1430"/>
      <c r="T383" s="1432"/>
      <c r="U383" s="1434"/>
      <c r="V383" s="1436"/>
      <c r="W383" s="1438"/>
      <c r="X383" s="1376"/>
      <c r="Y383" s="1378"/>
      <c r="Z383" s="1376"/>
      <c r="AA383" s="1378"/>
      <c r="AB383" s="1376"/>
      <c r="AC383" s="1378"/>
      <c r="AD383" s="1376"/>
      <c r="AE383" s="1378"/>
      <c r="AF383" s="1378"/>
      <c r="AG383" s="1378"/>
      <c r="AH383" s="1380"/>
      <c r="AI383" s="1382"/>
      <c r="AJ383" s="1384"/>
      <c r="AK383" s="1386"/>
      <c r="AL383" s="1364"/>
      <c r="AM383" s="1388"/>
      <c r="AN383" s="1360"/>
      <c r="AO383" s="1390"/>
      <c r="AP383" s="1394"/>
      <c r="AQ383" s="1394"/>
      <c r="AR383" s="1396"/>
      <c r="AS383" s="1348"/>
      <c r="AT383" s="1334" t="str">
        <f t="shared" si="257"/>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1"/>
      <c r="C384" s="1302"/>
      <c r="D384" s="1302"/>
      <c r="E384" s="1302"/>
      <c r="F384" s="1303"/>
      <c r="G384" s="1268"/>
      <c r="H384" s="1268"/>
      <c r="I384" s="1268"/>
      <c r="J384" s="1443"/>
      <c r="K384" s="1268"/>
      <c r="L384" s="1274"/>
      <c r="M384" s="1445"/>
      <c r="N384" s="1400"/>
      <c r="O384" s="1421"/>
      <c r="P384" s="1401" t="s">
        <v>2179</v>
      </c>
      <c r="Q384" s="1403" t="str">
        <f>IFERROR(VLOOKUP('別紙様式2-2（４・５月分）'!AR290,【参考】数式用!$AT$5:$AV$22,3,FALSE),"")</f>
        <v/>
      </c>
      <c r="R384" s="1405" t="s">
        <v>2190</v>
      </c>
      <c r="S384" s="1447" t="str">
        <f>IFERROR(VLOOKUP(K382,【参考】数式用!$A$5:$AB$27,MATCH(Q384,【参考】数式用!$B$4:$AB$4,0)+1,0),"")</f>
        <v/>
      </c>
      <c r="T384" s="1409" t="s">
        <v>217</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5" t="s">
        <v>38</v>
      </c>
      <c r="AI384" s="1367" t="str">
        <f>IFERROR(ROUNDDOWN(ROUND(L382*V384,0)*M382,0)*AG384,"")</f>
        <v/>
      </c>
      <c r="AJ384" s="1369" t="str">
        <f>IFERROR(ROUNDDOWN(ROUND((L382*(V384-AX382)),0)*M382,0)*AG384,"")</f>
        <v/>
      </c>
      <c r="AK384" s="1371">
        <f>IFERROR(IF(OR(N382="",N383="",N385=""),0,ROUNDDOWN(ROUNDDOWN(ROUND(L382*VLOOKUP(K382,【参考】数式用!$A$5:$AB$27,MATCH("新加算Ⅳ",【参考】数式用!$B$4:$AB$4,0)+1,0),0)*M382,0)*AG384*0.5,0)),"")</f>
        <v>0</v>
      </c>
      <c r="AL384" s="1361" t="str">
        <f t="shared" ref="AL384" si="292">IF(U384&lt;&gt;"","新規に適用","")</f>
        <v/>
      </c>
      <c r="AM384" s="1373">
        <f>IFERROR(IF(OR(N385="ベア加算",N385=""),0, IF(OR(U382="新加算Ⅰ",U382="新加算Ⅱ",U382="新加算Ⅲ",U382="新加算Ⅳ"),0,ROUNDDOWN(ROUND(L382*VLOOKUP(K382,【参考】数式用!$A$5:$I$27,MATCH("ベア加算",【参考】数式用!$B$4:$I$4,0)+1,0),0)*M382,0)*AG384)),"")</f>
        <v>0</v>
      </c>
      <c r="AN384" s="1345" t="str">
        <f>IF(AND(U384&lt;&gt;"",AN382=""),"新規に適用",IF(AND(U384&lt;&gt;"",AN382&lt;&gt;""),"継続で適用",""))</f>
        <v/>
      </c>
      <c r="AO384" s="1345" t="str">
        <f>IF(AND(U384&lt;&gt;"",AO382=""),"新規に適用",IF(AND(U384&lt;&gt;"",AO382&lt;&gt;""),"継続で適用",""))</f>
        <v/>
      </c>
      <c r="AP384" s="1391"/>
      <c r="AQ384" s="1345" t="str">
        <f>IF(AND(U384&lt;&gt;"",AQ382=""),"新規に適用",IF(AND(U384&lt;&gt;"",AQ382&lt;&gt;""),"継続で適用",""))</f>
        <v/>
      </c>
      <c r="AR384" s="1349" t="str">
        <f t="shared" si="274"/>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316"/>
      <c r="B385" s="1439"/>
      <c r="C385" s="1440"/>
      <c r="D385" s="1440"/>
      <c r="E385" s="1440"/>
      <c r="F385" s="1441"/>
      <c r="G385" s="1269"/>
      <c r="H385" s="1269"/>
      <c r="I385" s="1269"/>
      <c r="J385" s="1444"/>
      <c r="K385" s="1269"/>
      <c r="L385" s="1275"/>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66"/>
      <c r="AI385" s="1368"/>
      <c r="AJ385" s="1370"/>
      <c r="AK385" s="1372"/>
      <c r="AL385" s="1362"/>
      <c r="AM385" s="1374"/>
      <c r="AN385" s="1346"/>
      <c r="AO385" s="1346"/>
      <c r="AP385" s="1392"/>
      <c r="AQ385" s="1346"/>
      <c r="AR385" s="1350"/>
      <c r="AS385" s="1346"/>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4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2173</v>
      </c>
      <c r="U386" s="1433"/>
      <c r="V386" s="1435" t="str">
        <f>IFERROR(VLOOKUP(K386,【参考】数式用!$A$5:$AB$27,MATCH(U386,【参考】数式用!$B$4:$AB$4,0)+1,0),"")</f>
        <v/>
      </c>
      <c r="W386" s="1437" t="s">
        <v>19</v>
      </c>
      <c r="X386" s="1375">
        <v>6</v>
      </c>
      <c r="Y386" s="1377" t="s">
        <v>10</v>
      </c>
      <c r="Z386" s="1375">
        <v>6</v>
      </c>
      <c r="AA386" s="1377" t="s">
        <v>45</v>
      </c>
      <c r="AB386" s="1375">
        <v>7</v>
      </c>
      <c r="AC386" s="1377" t="s">
        <v>10</v>
      </c>
      <c r="AD386" s="1375">
        <v>3</v>
      </c>
      <c r="AE386" s="1377" t="s">
        <v>13</v>
      </c>
      <c r="AF386" s="1377" t="s">
        <v>24</v>
      </c>
      <c r="AG386" s="1377">
        <f>IF(X386&gt;=1,(AB386*12+AD386)-(X386*12+Z386)+1,"")</f>
        <v>10</v>
      </c>
      <c r="AH386" s="1379" t="s">
        <v>38</v>
      </c>
      <c r="AI386" s="1381" t="str">
        <f>IFERROR(ROUNDDOWN(ROUND(L386*V386,0)*M386,0)*AG386,"")</f>
        <v/>
      </c>
      <c r="AJ386" s="1383" t="str">
        <f>IFERROR(ROUNDDOWN(ROUND((L386*(V386-AX386)),0)*M386,0)*AG386,"")</f>
        <v/>
      </c>
      <c r="AK386" s="1385">
        <f>IFERROR(IF(OR(N386="",N387="",N389=""),0,ROUNDDOWN(ROUNDDOWN(ROUND(L386*VLOOKUP(K386,【参考】数式用!$A$5:$AB$27,MATCH("新加算Ⅳ",【参考】数式用!$B$4:$AB$4,0)+1,0),0)*M386,0)*AG386*0.5,0)),"")</f>
        <v>0</v>
      </c>
      <c r="AL386" s="1363"/>
      <c r="AM386" s="138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55"/>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2098</v>
      </c>
      <c r="BA386" s="1247" t="s">
        <v>2099</v>
      </c>
      <c r="BB386" s="1247" t="s">
        <v>2100</v>
      </c>
      <c r="BC386" s="1247" t="s">
        <v>2101</v>
      </c>
      <c r="BD386" s="1247" t="str">
        <f>IF(AND(P386&lt;&gt;"新加算Ⅰ",P386&lt;&gt;"新加算Ⅱ",P386&lt;&gt;"新加算Ⅲ",P386&lt;&gt;"新加算Ⅳ"),P386,IF(Q388&lt;&gt;"",Q388,""))</f>
        <v/>
      </c>
      <c r="BE386" s="1247"/>
      <c r="BF386" s="1247" t="str">
        <f t="shared" ref="BF386" si="294">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315"/>
      <c r="B387" s="1301"/>
      <c r="C387" s="1302"/>
      <c r="D387" s="1302"/>
      <c r="E387" s="1302"/>
      <c r="F387" s="1303"/>
      <c r="G387" s="1268"/>
      <c r="H387" s="1268"/>
      <c r="I387" s="1268"/>
      <c r="J387" s="1443"/>
      <c r="K387" s="1268"/>
      <c r="L387" s="1274"/>
      <c r="M387" s="1277"/>
      <c r="N387" s="1399" t="str">
        <f>IF('別紙様式2-2（４・５月分）'!Q294="","",'別紙様式2-2（４・５月分）'!Q294)</f>
        <v/>
      </c>
      <c r="O387" s="1420"/>
      <c r="P387" s="1426"/>
      <c r="Q387" s="1427"/>
      <c r="R387" s="1428"/>
      <c r="S387" s="1430"/>
      <c r="T387" s="1432"/>
      <c r="U387" s="1434"/>
      <c r="V387" s="1436"/>
      <c r="W387" s="1438"/>
      <c r="X387" s="1376"/>
      <c r="Y387" s="1378"/>
      <c r="Z387" s="1376"/>
      <c r="AA387" s="1378"/>
      <c r="AB387" s="1376"/>
      <c r="AC387" s="1378"/>
      <c r="AD387" s="1376"/>
      <c r="AE387" s="1378"/>
      <c r="AF387" s="1378"/>
      <c r="AG387" s="1378"/>
      <c r="AH387" s="1380"/>
      <c r="AI387" s="1382"/>
      <c r="AJ387" s="1384"/>
      <c r="AK387" s="1386"/>
      <c r="AL387" s="1364"/>
      <c r="AM387" s="1388"/>
      <c r="AN387" s="1360"/>
      <c r="AO387" s="1390"/>
      <c r="AP387" s="1394"/>
      <c r="AQ387" s="1394"/>
      <c r="AR387" s="1396"/>
      <c r="AS387" s="1348"/>
      <c r="AT387" s="1334" t="str">
        <f t="shared" si="257"/>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1"/>
      <c r="C388" s="1302"/>
      <c r="D388" s="1302"/>
      <c r="E388" s="1302"/>
      <c r="F388" s="1303"/>
      <c r="G388" s="1268"/>
      <c r="H388" s="1268"/>
      <c r="I388" s="1268"/>
      <c r="J388" s="1443"/>
      <c r="K388" s="1268"/>
      <c r="L388" s="1274"/>
      <c r="M388" s="1277"/>
      <c r="N388" s="1400"/>
      <c r="O388" s="1421"/>
      <c r="P388" s="1401" t="s">
        <v>2179</v>
      </c>
      <c r="Q388" s="1403" t="str">
        <f>IFERROR(VLOOKUP('別紙様式2-2（４・５月分）'!AR293,【参考】数式用!$AT$5:$AV$22,3,FALSE),"")</f>
        <v/>
      </c>
      <c r="R388" s="1405" t="s">
        <v>2190</v>
      </c>
      <c r="S388" s="1407" t="str">
        <f>IFERROR(VLOOKUP(K386,【参考】数式用!$A$5:$AB$27,MATCH(Q388,【参考】数式用!$B$4:$AB$4,0)+1,0),"")</f>
        <v/>
      </c>
      <c r="T388" s="1409" t="s">
        <v>217</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5" t="s">
        <v>38</v>
      </c>
      <c r="AI388" s="1367" t="str">
        <f>IFERROR(ROUNDDOWN(ROUND(L386*V388,0)*M386,0)*AG388,"")</f>
        <v/>
      </c>
      <c r="AJ388" s="1369" t="str">
        <f>IFERROR(ROUNDDOWN(ROUND((L386*(V388-AX386)),0)*M386,0)*AG388,"")</f>
        <v/>
      </c>
      <c r="AK388" s="1371">
        <f>IFERROR(IF(OR(N386="",N387="",N389=""),0,ROUNDDOWN(ROUNDDOWN(ROUND(L386*VLOOKUP(K386,【参考】数式用!$A$5:$AB$27,MATCH("新加算Ⅳ",【参考】数式用!$B$4:$AB$4,0)+1,0),0)*M386,0)*AG388*0.5,0)),"")</f>
        <v>0</v>
      </c>
      <c r="AL388" s="1361" t="str">
        <f t="shared" ref="AL388" si="295">IF(U388&lt;&gt;"","新規に適用","")</f>
        <v/>
      </c>
      <c r="AM388" s="1373">
        <f>IFERROR(IF(OR(N389="ベア加算",N389=""),0, IF(OR(U386="新加算Ⅰ",U386="新加算Ⅱ",U386="新加算Ⅲ",U386="新加算Ⅳ"),0,ROUNDDOWN(ROUND(L386*VLOOKUP(K386,【参考】数式用!$A$5:$I$27,MATCH("ベア加算",【参考】数式用!$B$4:$I$4,0)+1,0),0)*M386,0)*AG388)),"")</f>
        <v>0</v>
      </c>
      <c r="AN388" s="1345" t="str">
        <f>IF(AND(U388&lt;&gt;"",AN386=""),"新規に適用",IF(AND(U388&lt;&gt;"",AN386&lt;&gt;""),"継続で適用",""))</f>
        <v/>
      </c>
      <c r="AO388" s="1345" t="str">
        <f>IF(AND(U388&lt;&gt;"",AO386=""),"新規に適用",IF(AND(U388&lt;&gt;"",AO386&lt;&gt;""),"継続で適用",""))</f>
        <v/>
      </c>
      <c r="AP388" s="1391"/>
      <c r="AQ388" s="1345" t="str">
        <f>IF(AND(U388&lt;&gt;"",AQ386=""),"新規に適用",IF(AND(U388&lt;&gt;"",AQ386&lt;&gt;""),"継続で適用",""))</f>
        <v/>
      </c>
      <c r="AR388" s="1349" t="str">
        <f t="shared" si="274"/>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316"/>
      <c r="B389" s="1439"/>
      <c r="C389" s="1440"/>
      <c r="D389" s="1440"/>
      <c r="E389" s="1440"/>
      <c r="F389" s="1441"/>
      <c r="G389" s="1269"/>
      <c r="H389" s="1269"/>
      <c r="I389" s="1269"/>
      <c r="J389" s="1444"/>
      <c r="K389" s="1269"/>
      <c r="L389" s="1275"/>
      <c r="M389" s="1278"/>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66"/>
      <c r="AI389" s="1368"/>
      <c r="AJ389" s="1370"/>
      <c r="AK389" s="1372"/>
      <c r="AL389" s="1362"/>
      <c r="AM389" s="1374"/>
      <c r="AN389" s="1346"/>
      <c r="AO389" s="1346"/>
      <c r="AP389" s="1392"/>
      <c r="AQ389" s="1346"/>
      <c r="AR389" s="1350"/>
      <c r="AS389" s="1346"/>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314">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43" t="str">
        <f>IF(基本情報入力シート!X148="","",基本情報入力シート!X148)</f>
        <v/>
      </c>
      <c r="K390" s="1268" t="str">
        <f>IF(基本情報入力シート!Y148="","",基本情報入力シート!Y148)</f>
        <v/>
      </c>
      <c r="L390" s="1274"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2173</v>
      </c>
      <c r="U390" s="1433"/>
      <c r="V390" s="1435" t="str">
        <f>IFERROR(VLOOKUP(K390,【参考】数式用!$A$5:$AB$27,MATCH(U390,【参考】数式用!$B$4:$AB$4,0)+1,0),"")</f>
        <v/>
      </c>
      <c r="W390" s="1437" t="s">
        <v>19</v>
      </c>
      <c r="X390" s="1375">
        <v>6</v>
      </c>
      <c r="Y390" s="1377" t="s">
        <v>10</v>
      </c>
      <c r="Z390" s="1375">
        <v>6</v>
      </c>
      <c r="AA390" s="1377" t="s">
        <v>45</v>
      </c>
      <c r="AB390" s="1375">
        <v>7</v>
      </c>
      <c r="AC390" s="1377" t="s">
        <v>10</v>
      </c>
      <c r="AD390" s="1375">
        <v>3</v>
      </c>
      <c r="AE390" s="1377" t="s">
        <v>13</v>
      </c>
      <c r="AF390" s="1377" t="s">
        <v>24</v>
      </c>
      <c r="AG390" s="1377">
        <f>IF(X390&gt;=1,(AB390*12+AD390)-(X390*12+Z390)+1,"")</f>
        <v>10</v>
      </c>
      <c r="AH390" s="1379" t="s">
        <v>38</v>
      </c>
      <c r="AI390" s="1381" t="str">
        <f>IFERROR(ROUNDDOWN(ROUND(L390*V390,0)*M390,0)*AG390,"")</f>
        <v/>
      </c>
      <c r="AJ390" s="1383" t="str">
        <f>IFERROR(ROUNDDOWN(ROUND((L390*(V390-AX390)),0)*M390,0)*AG390,"")</f>
        <v/>
      </c>
      <c r="AK390" s="1385">
        <f>IFERROR(IF(OR(N390="",N391="",N393=""),0,ROUNDDOWN(ROUNDDOWN(ROUND(L390*VLOOKUP(K390,【参考】数式用!$A$5:$AB$27,MATCH("新加算Ⅳ",【参考】数式用!$B$4:$AB$4,0)+1,0),0)*M390,0)*AG390*0.5,0)),"")</f>
        <v>0</v>
      </c>
      <c r="AL390" s="1363"/>
      <c r="AM390" s="138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55"/>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2098</v>
      </c>
      <c r="BA390" s="1247" t="s">
        <v>2099</v>
      </c>
      <c r="BB390" s="1247" t="s">
        <v>2100</v>
      </c>
      <c r="BC390" s="1247" t="s">
        <v>2101</v>
      </c>
      <c r="BD390" s="1247" t="str">
        <f>IF(AND(P390&lt;&gt;"新加算Ⅰ",P390&lt;&gt;"新加算Ⅱ",P390&lt;&gt;"新加算Ⅲ",P390&lt;&gt;"新加算Ⅳ"),P390,IF(Q392&lt;&gt;"",Q392,""))</f>
        <v/>
      </c>
      <c r="BE390" s="1247"/>
      <c r="BF390" s="1247" t="str">
        <f t="shared" ref="BF390" si="297">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315"/>
      <c r="B391" s="1301"/>
      <c r="C391" s="1302"/>
      <c r="D391" s="1302"/>
      <c r="E391" s="1302"/>
      <c r="F391" s="1303"/>
      <c r="G391" s="1268"/>
      <c r="H391" s="1268"/>
      <c r="I391" s="1268"/>
      <c r="J391" s="1443"/>
      <c r="K391" s="1268"/>
      <c r="L391" s="1274"/>
      <c r="M391" s="1445"/>
      <c r="N391" s="1399" t="str">
        <f>IF('別紙様式2-2（４・５月分）'!Q297="","",'別紙様式2-2（４・５月分）'!Q297)</f>
        <v/>
      </c>
      <c r="O391" s="1420"/>
      <c r="P391" s="1426"/>
      <c r="Q391" s="1427"/>
      <c r="R391" s="1428"/>
      <c r="S391" s="1430"/>
      <c r="T391" s="1432"/>
      <c r="U391" s="1434"/>
      <c r="V391" s="1436"/>
      <c r="W391" s="1438"/>
      <c r="X391" s="1376"/>
      <c r="Y391" s="1378"/>
      <c r="Z391" s="1376"/>
      <c r="AA391" s="1378"/>
      <c r="AB391" s="1376"/>
      <c r="AC391" s="1378"/>
      <c r="AD391" s="1376"/>
      <c r="AE391" s="1378"/>
      <c r="AF391" s="1378"/>
      <c r="AG391" s="1378"/>
      <c r="AH391" s="1380"/>
      <c r="AI391" s="1382"/>
      <c r="AJ391" s="1384"/>
      <c r="AK391" s="1386"/>
      <c r="AL391" s="1364"/>
      <c r="AM391" s="1388"/>
      <c r="AN391" s="1360"/>
      <c r="AO391" s="1390"/>
      <c r="AP391" s="1394"/>
      <c r="AQ391" s="1394"/>
      <c r="AR391" s="1396"/>
      <c r="AS391" s="1348"/>
      <c r="AT391" s="1334" t="str">
        <f t="shared" si="257"/>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1"/>
      <c r="C392" s="1302"/>
      <c r="D392" s="1302"/>
      <c r="E392" s="1302"/>
      <c r="F392" s="1303"/>
      <c r="G392" s="1268"/>
      <c r="H392" s="1268"/>
      <c r="I392" s="1268"/>
      <c r="J392" s="1443"/>
      <c r="K392" s="1268"/>
      <c r="L392" s="1274"/>
      <c r="M392" s="1445"/>
      <c r="N392" s="1400"/>
      <c r="O392" s="1421"/>
      <c r="P392" s="1401" t="s">
        <v>2179</v>
      </c>
      <c r="Q392" s="1403" t="str">
        <f>IFERROR(VLOOKUP('別紙様式2-2（４・５月分）'!AR296,【参考】数式用!$AT$5:$AV$22,3,FALSE),"")</f>
        <v/>
      </c>
      <c r="R392" s="1405" t="s">
        <v>2190</v>
      </c>
      <c r="S392" s="1447" t="str">
        <f>IFERROR(VLOOKUP(K390,【参考】数式用!$A$5:$AB$27,MATCH(Q392,【参考】数式用!$B$4:$AB$4,0)+1,0),"")</f>
        <v/>
      </c>
      <c r="T392" s="1409" t="s">
        <v>217</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5" t="s">
        <v>38</v>
      </c>
      <c r="AI392" s="1367" t="str">
        <f>IFERROR(ROUNDDOWN(ROUND(L390*V392,0)*M390,0)*AG392,"")</f>
        <v/>
      </c>
      <c r="AJ392" s="1369" t="str">
        <f>IFERROR(ROUNDDOWN(ROUND((L390*(V392-AX390)),0)*M390,0)*AG392,"")</f>
        <v/>
      </c>
      <c r="AK392" s="1371">
        <f>IFERROR(IF(OR(N390="",N391="",N393=""),0,ROUNDDOWN(ROUNDDOWN(ROUND(L390*VLOOKUP(K390,【参考】数式用!$A$5:$AB$27,MATCH("新加算Ⅳ",【参考】数式用!$B$4:$AB$4,0)+1,0),0)*M390,0)*AG392*0.5,0)),"")</f>
        <v>0</v>
      </c>
      <c r="AL392" s="1361" t="str">
        <f t="shared" ref="AL392" si="298">IF(U392&lt;&gt;"","新規に適用","")</f>
        <v/>
      </c>
      <c r="AM392" s="1373">
        <f>IFERROR(IF(OR(N393="ベア加算",N393=""),0, IF(OR(U390="新加算Ⅰ",U390="新加算Ⅱ",U390="新加算Ⅲ",U390="新加算Ⅳ"),0,ROUNDDOWN(ROUND(L390*VLOOKUP(K390,【参考】数式用!$A$5:$I$27,MATCH("ベア加算",【参考】数式用!$B$4:$I$4,0)+1,0),0)*M390,0)*AG392)),"")</f>
        <v>0</v>
      </c>
      <c r="AN392" s="1345" t="str">
        <f>IF(AND(U392&lt;&gt;"",AN390=""),"新規に適用",IF(AND(U392&lt;&gt;"",AN390&lt;&gt;""),"継続で適用",""))</f>
        <v/>
      </c>
      <c r="AO392" s="1345" t="str">
        <f>IF(AND(U392&lt;&gt;"",AO390=""),"新規に適用",IF(AND(U392&lt;&gt;"",AO390&lt;&gt;""),"継続で適用",""))</f>
        <v/>
      </c>
      <c r="AP392" s="1391"/>
      <c r="AQ392" s="1345" t="str">
        <f>IF(AND(U392&lt;&gt;"",AQ390=""),"新規に適用",IF(AND(U392&lt;&gt;"",AQ390&lt;&gt;""),"継続で適用",""))</f>
        <v/>
      </c>
      <c r="AR392" s="1349" t="str">
        <f t="shared" si="274"/>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316"/>
      <c r="B393" s="1439"/>
      <c r="C393" s="1440"/>
      <c r="D393" s="1440"/>
      <c r="E393" s="1440"/>
      <c r="F393" s="1441"/>
      <c r="G393" s="1269"/>
      <c r="H393" s="1269"/>
      <c r="I393" s="1269"/>
      <c r="J393" s="1444"/>
      <c r="K393" s="1269"/>
      <c r="L393" s="1275"/>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66"/>
      <c r="AI393" s="1368"/>
      <c r="AJ393" s="1370"/>
      <c r="AK393" s="1372"/>
      <c r="AL393" s="1362"/>
      <c r="AM393" s="1374"/>
      <c r="AN393" s="1346"/>
      <c r="AO393" s="1346"/>
      <c r="AP393" s="1392"/>
      <c r="AQ393" s="1346"/>
      <c r="AR393" s="1350"/>
      <c r="AS393" s="1346"/>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4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2173</v>
      </c>
      <c r="U394" s="1433"/>
      <c r="V394" s="1435" t="str">
        <f>IFERROR(VLOOKUP(K394,【参考】数式用!$A$5:$AB$27,MATCH(U394,【参考】数式用!$B$4:$AB$4,0)+1,0),"")</f>
        <v/>
      </c>
      <c r="W394" s="1437" t="s">
        <v>19</v>
      </c>
      <c r="X394" s="1375">
        <v>6</v>
      </c>
      <c r="Y394" s="1377" t="s">
        <v>10</v>
      </c>
      <c r="Z394" s="1375">
        <v>6</v>
      </c>
      <c r="AA394" s="1377" t="s">
        <v>45</v>
      </c>
      <c r="AB394" s="1375">
        <v>7</v>
      </c>
      <c r="AC394" s="1377" t="s">
        <v>10</v>
      </c>
      <c r="AD394" s="1375">
        <v>3</v>
      </c>
      <c r="AE394" s="1377" t="s">
        <v>13</v>
      </c>
      <c r="AF394" s="1377" t="s">
        <v>24</v>
      </c>
      <c r="AG394" s="1377">
        <f>IF(X394&gt;=1,(AB394*12+AD394)-(X394*12+Z394)+1,"")</f>
        <v>10</v>
      </c>
      <c r="AH394" s="1379" t="s">
        <v>38</v>
      </c>
      <c r="AI394" s="1381" t="str">
        <f>IFERROR(ROUNDDOWN(ROUND(L394*V394,0)*M394,0)*AG394,"")</f>
        <v/>
      </c>
      <c r="AJ394" s="1383" t="str">
        <f>IFERROR(ROUNDDOWN(ROUND((L394*(V394-AX394)),0)*M394,0)*AG394,"")</f>
        <v/>
      </c>
      <c r="AK394" s="1385">
        <f>IFERROR(IF(OR(N394="",N395="",N397=""),0,ROUNDDOWN(ROUNDDOWN(ROUND(L394*VLOOKUP(K394,【参考】数式用!$A$5:$AB$27,MATCH("新加算Ⅳ",【参考】数式用!$B$4:$AB$4,0)+1,0),0)*M394,0)*AG394*0.5,0)),"")</f>
        <v>0</v>
      </c>
      <c r="AL394" s="1363"/>
      <c r="AM394" s="138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55"/>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2098</v>
      </c>
      <c r="BA394" s="1247" t="s">
        <v>2099</v>
      </c>
      <c r="BB394" s="1247" t="s">
        <v>2100</v>
      </c>
      <c r="BC394" s="1247" t="s">
        <v>2101</v>
      </c>
      <c r="BD394" s="1247" t="str">
        <f>IF(AND(P394&lt;&gt;"新加算Ⅰ",P394&lt;&gt;"新加算Ⅱ",P394&lt;&gt;"新加算Ⅲ",P394&lt;&gt;"新加算Ⅳ"),P394,IF(Q396&lt;&gt;"",Q396,""))</f>
        <v/>
      </c>
      <c r="BE394" s="1247"/>
      <c r="BF394" s="1247" t="str">
        <f t="shared" ref="BF394" si="300">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315"/>
      <c r="B395" s="1301"/>
      <c r="C395" s="1302"/>
      <c r="D395" s="1302"/>
      <c r="E395" s="1302"/>
      <c r="F395" s="1303"/>
      <c r="G395" s="1268"/>
      <c r="H395" s="1268"/>
      <c r="I395" s="1268"/>
      <c r="J395" s="1443"/>
      <c r="K395" s="1268"/>
      <c r="L395" s="1274"/>
      <c r="M395" s="1277"/>
      <c r="N395" s="1399" t="str">
        <f>IF('別紙様式2-2（４・５月分）'!Q300="","",'別紙様式2-2（４・５月分）'!Q300)</f>
        <v/>
      </c>
      <c r="O395" s="1420"/>
      <c r="P395" s="1426"/>
      <c r="Q395" s="1427"/>
      <c r="R395" s="1428"/>
      <c r="S395" s="1430"/>
      <c r="T395" s="1432"/>
      <c r="U395" s="1434"/>
      <c r="V395" s="1436"/>
      <c r="W395" s="1438"/>
      <c r="X395" s="1376"/>
      <c r="Y395" s="1378"/>
      <c r="Z395" s="1376"/>
      <c r="AA395" s="1378"/>
      <c r="AB395" s="1376"/>
      <c r="AC395" s="1378"/>
      <c r="AD395" s="1376"/>
      <c r="AE395" s="1378"/>
      <c r="AF395" s="1378"/>
      <c r="AG395" s="1378"/>
      <c r="AH395" s="1380"/>
      <c r="AI395" s="1382"/>
      <c r="AJ395" s="1384"/>
      <c r="AK395" s="1386"/>
      <c r="AL395" s="1364"/>
      <c r="AM395" s="1388"/>
      <c r="AN395" s="1360"/>
      <c r="AO395" s="1390"/>
      <c r="AP395" s="1394"/>
      <c r="AQ395" s="1394"/>
      <c r="AR395" s="1396"/>
      <c r="AS395" s="1348"/>
      <c r="AT395" s="1334" t="str">
        <f t="shared" si="257"/>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1"/>
      <c r="C396" s="1302"/>
      <c r="D396" s="1302"/>
      <c r="E396" s="1302"/>
      <c r="F396" s="1303"/>
      <c r="G396" s="1268"/>
      <c r="H396" s="1268"/>
      <c r="I396" s="1268"/>
      <c r="J396" s="1443"/>
      <c r="K396" s="1268"/>
      <c r="L396" s="1274"/>
      <c r="M396" s="1277"/>
      <c r="N396" s="1400"/>
      <c r="O396" s="1421"/>
      <c r="P396" s="1401" t="s">
        <v>2179</v>
      </c>
      <c r="Q396" s="1403" t="str">
        <f>IFERROR(VLOOKUP('別紙様式2-2（４・５月分）'!AR299,【参考】数式用!$AT$5:$AV$22,3,FALSE),"")</f>
        <v/>
      </c>
      <c r="R396" s="1405" t="s">
        <v>2190</v>
      </c>
      <c r="S396" s="1407" t="str">
        <f>IFERROR(VLOOKUP(K394,【参考】数式用!$A$5:$AB$27,MATCH(Q396,【参考】数式用!$B$4:$AB$4,0)+1,0),"")</f>
        <v/>
      </c>
      <c r="T396" s="1409" t="s">
        <v>217</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5" t="s">
        <v>38</v>
      </c>
      <c r="AI396" s="1367" t="str">
        <f>IFERROR(ROUNDDOWN(ROUND(L394*V396,0)*M394,0)*AG396,"")</f>
        <v/>
      </c>
      <c r="AJ396" s="1369" t="str">
        <f>IFERROR(ROUNDDOWN(ROUND((L394*(V396-AX394)),0)*M394,0)*AG396,"")</f>
        <v/>
      </c>
      <c r="AK396" s="1371">
        <f>IFERROR(IF(OR(N394="",N395="",N397=""),0,ROUNDDOWN(ROUNDDOWN(ROUND(L394*VLOOKUP(K394,【参考】数式用!$A$5:$AB$27,MATCH("新加算Ⅳ",【参考】数式用!$B$4:$AB$4,0)+1,0),0)*M394,0)*AG396*0.5,0)),"")</f>
        <v>0</v>
      </c>
      <c r="AL396" s="1361" t="str">
        <f t="shared" ref="AL396" si="301">IF(U396&lt;&gt;"","新規に適用","")</f>
        <v/>
      </c>
      <c r="AM396" s="1373">
        <f>IFERROR(IF(OR(N397="ベア加算",N397=""),0, IF(OR(U394="新加算Ⅰ",U394="新加算Ⅱ",U394="新加算Ⅲ",U394="新加算Ⅳ"),0,ROUNDDOWN(ROUND(L394*VLOOKUP(K394,【参考】数式用!$A$5:$I$27,MATCH("ベア加算",【参考】数式用!$B$4:$I$4,0)+1,0),0)*M394,0)*AG396)),"")</f>
        <v>0</v>
      </c>
      <c r="AN396" s="1345" t="str">
        <f>IF(AND(U396&lt;&gt;"",AN394=""),"新規に適用",IF(AND(U396&lt;&gt;"",AN394&lt;&gt;""),"継続で適用",""))</f>
        <v/>
      </c>
      <c r="AO396" s="1345" t="str">
        <f>IF(AND(U396&lt;&gt;"",AO394=""),"新規に適用",IF(AND(U396&lt;&gt;"",AO394&lt;&gt;""),"継続で適用",""))</f>
        <v/>
      </c>
      <c r="AP396" s="1391"/>
      <c r="AQ396" s="1345" t="str">
        <f>IF(AND(U396&lt;&gt;"",AQ394=""),"新規に適用",IF(AND(U396&lt;&gt;"",AQ394&lt;&gt;""),"継続で適用",""))</f>
        <v/>
      </c>
      <c r="AR396" s="1349" t="str">
        <f t="shared" si="274"/>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316"/>
      <c r="B397" s="1439"/>
      <c r="C397" s="1440"/>
      <c r="D397" s="1440"/>
      <c r="E397" s="1440"/>
      <c r="F397" s="1441"/>
      <c r="G397" s="1269"/>
      <c r="H397" s="1269"/>
      <c r="I397" s="1269"/>
      <c r="J397" s="1444"/>
      <c r="K397" s="1269"/>
      <c r="L397" s="1275"/>
      <c r="M397" s="1278"/>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66"/>
      <c r="AI397" s="1368"/>
      <c r="AJ397" s="1370"/>
      <c r="AK397" s="1372"/>
      <c r="AL397" s="1362"/>
      <c r="AM397" s="1374"/>
      <c r="AN397" s="1346"/>
      <c r="AO397" s="1346"/>
      <c r="AP397" s="1392"/>
      <c r="AQ397" s="1346"/>
      <c r="AR397" s="1350"/>
      <c r="AS397" s="1346"/>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314">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43" t="str">
        <f>IF(基本情報入力シート!X150="","",基本情報入力シート!X150)</f>
        <v/>
      </c>
      <c r="K398" s="1268" t="str">
        <f>IF(基本情報入力シート!Y150="","",基本情報入力シート!Y150)</f>
        <v/>
      </c>
      <c r="L398" s="1274"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2173</v>
      </c>
      <c r="U398" s="1433"/>
      <c r="V398" s="1435" t="str">
        <f>IFERROR(VLOOKUP(K398,【参考】数式用!$A$5:$AB$27,MATCH(U398,【参考】数式用!$B$4:$AB$4,0)+1,0),"")</f>
        <v/>
      </c>
      <c r="W398" s="1437" t="s">
        <v>19</v>
      </c>
      <c r="X398" s="1375">
        <v>6</v>
      </c>
      <c r="Y398" s="1377" t="s">
        <v>10</v>
      </c>
      <c r="Z398" s="1375">
        <v>6</v>
      </c>
      <c r="AA398" s="1377" t="s">
        <v>45</v>
      </c>
      <c r="AB398" s="1375">
        <v>7</v>
      </c>
      <c r="AC398" s="1377" t="s">
        <v>10</v>
      </c>
      <c r="AD398" s="1375">
        <v>3</v>
      </c>
      <c r="AE398" s="1377" t="s">
        <v>13</v>
      </c>
      <c r="AF398" s="1377" t="s">
        <v>24</v>
      </c>
      <c r="AG398" s="1377">
        <f>IF(X398&gt;=1,(AB398*12+AD398)-(X398*12+Z398)+1,"")</f>
        <v>10</v>
      </c>
      <c r="AH398" s="1379" t="s">
        <v>38</v>
      </c>
      <c r="AI398" s="1381" t="str">
        <f>IFERROR(ROUNDDOWN(ROUND(L398*V398,0)*M398,0)*AG398,"")</f>
        <v/>
      </c>
      <c r="AJ398" s="1383" t="str">
        <f>IFERROR(ROUNDDOWN(ROUND((L398*(V398-AX398)),0)*M398,0)*AG398,"")</f>
        <v/>
      </c>
      <c r="AK398" s="1385">
        <f>IFERROR(IF(OR(N398="",N399="",N401=""),0,ROUNDDOWN(ROUNDDOWN(ROUND(L398*VLOOKUP(K398,【参考】数式用!$A$5:$AB$27,MATCH("新加算Ⅳ",【参考】数式用!$B$4:$AB$4,0)+1,0),0)*M398,0)*AG398*0.5,0)),"")</f>
        <v>0</v>
      </c>
      <c r="AL398" s="1363"/>
      <c r="AM398" s="138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55"/>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2098</v>
      </c>
      <c r="BA398" s="1247" t="s">
        <v>2099</v>
      </c>
      <c r="BB398" s="1247" t="s">
        <v>2100</v>
      </c>
      <c r="BC398" s="1247" t="s">
        <v>2101</v>
      </c>
      <c r="BD398" s="1247" t="str">
        <f>IF(AND(P398&lt;&gt;"新加算Ⅰ",P398&lt;&gt;"新加算Ⅱ",P398&lt;&gt;"新加算Ⅲ",P398&lt;&gt;"新加算Ⅳ"),P398,IF(Q400&lt;&gt;"",Q400,""))</f>
        <v/>
      </c>
      <c r="BE398" s="1247"/>
      <c r="BF398" s="1247" t="str">
        <f t="shared" ref="BF398" si="303">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315"/>
      <c r="B399" s="1301"/>
      <c r="C399" s="1302"/>
      <c r="D399" s="1302"/>
      <c r="E399" s="1302"/>
      <c r="F399" s="1303"/>
      <c r="G399" s="1268"/>
      <c r="H399" s="1268"/>
      <c r="I399" s="1268"/>
      <c r="J399" s="1443"/>
      <c r="K399" s="1268"/>
      <c r="L399" s="1274"/>
      <c r="M399" s="1445"/>
      <c r="N399" s="1399" t="str">
        <f>IF('別紙様式2-2（４・５月分）'!Q303="","",'別紙様式2-2（４・５月分）'!Q303)</f>
        <v/>
      </c>
      <c r="O399" s="1420"/>
      <c r="P399" s="1426"/>
      <c r="Q399" s="1427"/>
      <c r="R399" s="1428"/>
      <c r="S399" s="1430"/>
      <c r="T399" s="1432"/>
      <c r="U399" s="1434"/>
      <c r="V399" s="1436"/>
      <c r="W399" s="1438"/>
      <c r="X399" s="1376"/>
      <c r="Y399" s="1378"/>
      <c r="Z399" s="1376"/>
      <c r="AA399" s="1378"/>
      <c r="AB399" s="1376"/>
      <c r="AC399" s="1378"/>
      <c r="AD399" s="1376"/>
      <c r="AE399" s="1378"/>
      <c r="AF399" s="1378"/>
      <c r="AG399" s="1378"/>
      <c r="AH399" s="1380"/>
      <c r="AI399" s="1382"/>
      <c r="AJ399" s="1384"/>
      <c r="AK399" s="1386"/>
      <c r="AL399" s="1364"/>
      <c r="AM399" s="1388"/>
      <c r="AN399" s="1360"/>
      <c r="AO399" s="1390"/>
      <c r="AP399" s="1394"/>
      <c r="AQ399" s="1394"/>
      <c r="AR399" s="1396"/>
      <c r="AS399" s="1348"/>
      <c r="AT399" s="1334" t="str">
        <f t="shared" si="257"/>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1"/>
      <c r="C400" s="1302"/>
      <c r="D400" s="1302"/>
      <c r="E400" s="1302"/>
      <c r="F400" s="1303"/>
      <c r="G400" s="1268"/>
      <c r="H400" s="1268"/>
      <c r="I400" s="1268"/>
      <c r="J400" s="1443"/>
      <c r="K400" s="1268"/>
      <c r="L400" s="1274"/>
      <c r="M400" s="1445"/>
      <c r="N400" s="1400"/>
      <c r="O400" s="1421"/>
      <c r="P400" s="1401" t="s">
        <v>2179</v>
      </c>
      <c r="Q400" s="1403" t="str">
        <f>IFERROR(VLOOKUP('別紙様式2-2（４・５月分）'!AR302,【参考】数式用!$AT$5:$AV$22,3,FALSE),"")</f>
        <v/>
      </c>
      <c r="R400" s="1405" t="s">
        <v>2190</v>
      </c>
      <c r="S400" s="1447" t="str">
        <f>IFERROR(VLOOKUP(K398,【参考】数式用!$A$5:$AB$27,MATCH(Q400,【参考】数式用!$B$4:$AB$4,0)+1,0),"")</f>
        <v/>
      </c>
      <c r="T400" s="1409" t="s">
        <v>217</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5" t="s">
        <v>38</v>
      </c>
      <c r="AI400" s="1367" t="str">
        <f>IFERROR(ROUNDDOWN(ROUND(L398*V400,0)*M398,0)*AG400,"")</f>
        <v/>
      </c>
      <c r="AJ400" s="1369" t="str">
        <f>IFERROR(ROUNDDOWN(ROUND((L398*(V400-AX398)),0)*M398,0)*AG400,"")</f>
        <v/>
      </c>
      <c r="AK400" s="1371">
        <f>IFERROR(IF(OR(N398="",N399="",N401=""),0,ROUNDDOWN(ROUNDDOWN(ROUND(L398*VLOOKUP(K398,【参考】数式用!$A$5:$AB$27,MATCH("新加算Ⅳ",【参考】数式用!$B$4:$AB$4,0)+1,0),0)*M398,0)*AG400*0.5,0)),"")</f>
        <v>0</v>
      </c>
      <c r="AL400" s="1361" t="str">
        <f t="shared" ref="AL400" si="304">IF(U400&lt;&gt;"","新規に適用","")</f>
        <v/>
      </c>
      <c r="AM400" s="1373">
        <f>IFERROR(IF(OR(N401="ベア加算",N401=""),0, IF(OR(U398="新加算Ⅰ",U398="新加算Ⅱ",U398="新加算Ⅲ",U398="新加算Ⅳ"),0,ROUNDDOWN(ROUND(L398*VLOOKUP(K398,【参考】数式用!$A$5:$I$27,MATCH("ベア加算",【参考】数式用!$B$4:$I$4,0)+1,0),0)*M398,0)*AG400)),"")</f>
        <v>0</v>
      </c>
      <c r="AN400" s="1345" t="str">
        <f>IF(AND(U400&lt;&gt;"",AN398=""),"新規に適用",IF(AND(U400&lt;&gt;"",AN398&lt;&gt;""),"継続で適用",""))</f>
        <v/>
      </c>
      <c r="AO400" s="1345" t="str">
        <f>IF(AND(U400&lt;&gt;"",AO398=""),"新規に適用",IF(AND(U400&lt;&gt;"",AO398&lt;&gt;""),"継続で適用",""))</f>
        <v/>
      </c>
      <c r="AP400" s="1391"/>
      <c r="AQ400" s="1345" t="str">
        <f>IF(AND(U400&lt;&gt;"",AQ398=""),"新規に適用",IF(AND(U400&lt;&gt;"",AQ398&lt;&gt;""),"継続で適用",""))</f>
        <v/>
      </c>
      <c r="AR400" s="1349" t="str">
        <f t="shared" si="274"/>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316"/>
      <c r="B401" s="1439"/>
      <c r="C401" s="1440"/>
      <c r="D401" s="1440"/>
      <c r="E401" s="1440"/>
      <c r="F401" s="1441"/>
      <c r="G401" s="1269"/>
      <c r="H401" s="1269"/>
      <c r="I401" s="1269"/>
      <c r="J401" s="1444"/>
      <c r="K401" s="1269"/>
      <c r="L401" s="1275"/>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66"/>
      <c r="AI401" s="1368"/>
      <c r="AJ401" s="1370"/>
      <c r="AK401" s="1372"/>
      <c r="AL401" s="1362"/>
      <c r="AM401" s="1374"/>
      <c r="AN401" s="1346"/>
      <c r="AO401" s="1346"/>
      <c r="AP401" s="1392"/>
      <c r="AQ401" s="1346"/>
      <c r="AR401" s="1350"/>
      <c r="AS401" s="1346"/>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4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2173</v>
      </c>
      <c r="U402" s="1433"/>
      <c r="V402" s="1435" t="str">
        <f>IFERROR(VLOOKUP(K402,【参考】数式用!$A$5:$AB$27,MATCH(U402,【参考】数式用!$B$4:$AB$4,0)+1,0),"")</f>
        <v/>
      </c>
      <c r="W402" s="1437" t="s">
        <v>19</v>
      </c>
      <c r="X402" s="1375">
        <v>6</v>
      </c>
      <c r="Y402" s="1377" t="s">
        <v>10</v>
      </c>
      <c r="Z402" s="1375">
        <v>6</v>
      </c>
      <c r="AA402" s="1377" t="s">
        <v>45</v>
      </c>
      <c r="AB402" s="1375">
        <v>7</v>
      </c>
      <c r="AC402" s="1377" t="s">
        <v>10</v>
      </c>
      <c r="AD402" s="1375">
        <v>3</v>
      </c>
      <c r="AE402" s="1377" t="s">
        <v>13</v>
      </c>
      <c r="AF402" s="1377" t="s">
        <v>24</v>
      </c>
      <c r="AG402" s="1377">
        <f>IF(X402&gt;=1,(AB402*12+AD402)-(X402*12+Z402)+1,"")</f>
        <v>10</v>
      </c>
      <c r="AH402" s="1379" t="s">
        <v>38</v>
      </c>
      <c r="AI402" s="1381" t="str">
        <f>IFERROR(ROUNDDOWN(ROUND(L402*V402,0)*M402,0)*AG402,"")</f>
        <v/>
      </c>
      <c r="AJ402" s="1383" t="str">
        <f>IFERROR(ROUNDDOWN(ROUND((L402*(V402-AX402)),0)*M402,0)*AG402,"")</f>
        <v/>
      </c>
      <c r="AK402" s="1385">
        <f>IFERROR(IF(OR(N402="",N403="",N405=""),0,ROUNDDOWN(ROUNDDOWN(ROUND(L402*VLOOKUP(K402,【参考】数式用!$A$5:$AB$27,MATCH("新加算Ⅳ",【参考】数式用!$B$4:$AB$4,0)+1,0),0)*M402,0)*AG402*0.5,0)),"")</f>
        <v>0</v>
      </c>
      <c r="AL402" s="1363"/>
      <c r="AM402" s="138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06">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2098</v>
      </c>
      <c r="BA402" s="1247" t="s">
        <v>2099</v>
      </c>
      <c r="BB402" s="1247" t="s">
        <v>2100</v>
      </c>
      <c r="BC402" s="1247" t="s">
        <v>2101</v>
      </c>
      <c r="BD402" s="1247" t="str">
        <f>IF(AND(P402&lt;&gt;"新加算Ⅰ",P402&lt;&gt;"新加算Ⅱ",P402&lt;&gt;"新加算Ⅲ",P402&lt;&gt;"新加算Ⅳ"),P402,IF(Q404&lt;&gt;"",Q404,""))</f>
        <v/>
      </c>
      <c r="BE402" s="1247"/>
      <c r="BF402" s="1247" t="str">
        <f t="shared" ref="BF402" si="307">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315"/>
      <c r="B403" s="1301"/>
      <c r="C403" s="1302"/>
      <c r="D403" s="1302"/>
      <c r="E403" s="1302"/>
      <c r="F403" s="1303"/>
      <c r="G403" s="1268"/>
      <c r="H403" s="1268"/>
      <c r="I403" s="1268"/>
      <c r="J403" s="1443"/>
      <c r="K403" s="1268"/>
      <c r="L403" s="1274"/>
      <c r="M403" s="1277"/>
      <c r="N403" s="1399" t="str">
        <f>IF('別紙様式2-2（４・５月分）'!Q306="","",'別紙様式2-2（４・５月分）'!Q306)</f>
        <v/>
      </c>
      <c r="O403" s="1420"/>
      <c r="P403" s="1426"/>
      <c r="Q403" s="1427"/>
      <c r="R403" s="1428"/>
      <c r="S403" s="1430"/>
      <c r="T403" s="1432"/>
      <c r="U403" s="1434"/>
      <c r="V403" s="1436"/>
      <c r="W403" s="1438"/>
      <c r="X403" s="1376"/>
      <c r="Y403" s="1378"/>
      <c r="Z403" s="1376"/>
      <c r="AA403" s="1378"/>
      <c r="AB403" s="1376"/>
      <c r="AC403" s="1378"/>
      <c r="AD403" s="1376"/>
      <c r="AE403" s="1378"/>
      <c r="AF403" s="1378"/>
      <c r="AG403" s="1378"/>
      <c r="AH403" s="1380"/>
      <c r="AI403" s="1382"/>
      <c r="AJ403" s="1384"/>
      <c r="AK403" s="1386"/>
      <c r="AL403" s="1364"/>
      <c r="AM403" s="1388"/>
      <c r="AN403" s="1360"/>
      <c r="AO403" s="1390"/>
      <c r="AP403" s="1394"/>
      <c r="AQ403" s="1394"/>
      <c r="AR403" s="1396"/>
      <c r="AS403" s="1348"/>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1"/>
      <c r="C404" s="1302"/>
      <c r="D404" s="1302"/>
      <c r="E404" s="1302"/>
      <c r="F404" s="1303"/>
      <c r="G404" s="1268"/>
      <c r="H404" s="1268"/>
      <c r="I404" s="1268"/>
      <c r="J404" s="1443"/>
      <c r="K404" s="1268"/>
      <c r="L404" s="1274"/>
      <c r="M404" s="1277"/>
      <c r="N404" s="1400"/>
      <c r="O404" s="1421"/>
      <c r="P404" s="1401" t="s">
        <v>2179</v>
      </c>
      <c r="Q404" s="1403" t="str">
        <f>IFERROR(VLOOKUP('別紙様式2-2（４・５月分）'!AR305,【参考】数式用!$AT$5:$AV$22,3,FALSE),"")</f>
        <v/>
      </c>
      <c r="R404" s="1405" t="s">
        <v>2190</v>
      </c>
      <c r="S404" s="1407" t="str">
        <f>IFERROR(VLOOKUP(K402,【参考】数式用!$A$5:$AB$27,MATCH(Q404,【参考】数式用!$B$4:$AB$4,0)+1,0),"")</f>
        <v/>
      </c>
      <c r="T404" s="1409" t="s">
        <v>217</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5" t="s">
        <v>38</v>
      </c>
      <c r="AI404" s="1367" t="str">
        <f>IFERROR(ROUNDDOWN(ROUND(L402*V404,0)*M402,0)*AG404,"")</f>
        <v/>
      </c>
      <c r="AJ404" s="1369" t="str">
        <f>IFERROR(ROUNDDOWN(ROUND((L402*(V404-AX402)),0)*M402,0)*AG404,"")</f>
        <v/>
      </c>
      <c r="AK404" s="1371">
        <f>IFERROR(IF(OR(N402="",N403="",N405=""),0,ROUNDDOWN(ROUNDDOWN(ROUND(L402*VLOOKUP(K402,【参考】数式用!$A$5:$AB$27,MATCH("新加算Ⅳ",【参考】数式用!$B$4:$AB$4,0)+1,0),0)*M402,0)*AG404*0.5,0)),"")</f>
        <v>0</v>
      </c>
      <c r="AL404" s="1361" t="str">
        <f t="shared" ref="AL404" si="309">IF(U404&lt;&gt;"","新規に適用","")</f>
        <v/>
      </c>
      <c r="AM404" s="1373">
        <f>IFERROR(IF(OR(N405="ベア加算",N405=""),0, IF(OR(U402="新加算Ⅰ",U402="新加算Ⅱ",U402="新加算Ⅲ",U402="新加算Ⅳ"),0,ROUNDDOWN(ROUND(L402*VLOOKUP(K402,【参考】数式用!$A$5:$I$27,MATCH("ベア加算",【参考】数式用!$B$4:$I$4,0)+1,0),0)*M402,0)*AG404)),"")</f>
        <v>0</v>
      </c>
      <c r="AN404" s="1345" t="str">
        <f>IF(AND(U404&lt;&gt;"",AN402=""),"新規に適用",IF(AND(U404&lt;&gt;"",AN402&lt;&gt;""),"継続で適用",""))</f>
        <v/>
      </c>
      <c r="AO404" s="1345" t="str">
        <f>IF(AND(U404&lt;&gt;"",AO402=""),"新規に適用",IF(AND(U404&lt;&gt;"",AO402&lt;&gt;""),"継続で適用",""))</f>
        <v/>
      </c>
      <c r="AP404" s="1391"/>
      <c r="AQ404" s="1345" t="str">
        <f>IF(AND(U404&lt;&gt;"",AQ402=""),"新規に適用",IF(AND(U404&lt;&gt;"",AQ402&lt;&gt;""),"継続で適用",""))</f>
        <v/>
      </c>
      <c r="AR404" s="1349" t="str">
        <f t="shared" si="274"/>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316"/>
      <c r="B405" s="1439"/>
      <c r="C405" s="1440"/>
      <c r="D405" s="1440"/>
      <c r="E405" s="1440"/>
      <c r="F405" s="1441"/>
      <c r="G405" s="1269"/>
      <c r="H405" s="1269"/>
      <c r="I405" s="1269"/>
      <c r="J405" s="1444"/>
      <c r="K405" s="1269"/>
      <c r="L405" s="1275"/>
      <c r="M405" s="1278"/>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66"/>
      <c r="AI405" s="1368"/>
      <c r="AJ405" s="1370"/>
      <c r="AK405" s="1372"/>
      <c r="AL405" s="1362"/>
      <c r="AM405" s="1374"/>
      <c r="AN405" s="1346"/>
      <c r="AO405" s="1346"/>
      <c r="AP405" s="1392"/>
      <c r="AQ405" s="1346"/>
      <c r="AR405" s="1350"/>
      <c r="AS405" s="1346"/>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314">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43" t="str">
        <f>IF(基本情報入力シート!X152="","",基本情報入力シート!X152)</f>
        <v/>
      </c>
      <c r="K406" s="1268" t="str">
        <f>IF(基本情報入力シート!Y152="","",基本情報入力シート!Y152)</f>
        <v/>
      </c>
      <c r="L406" s="1274"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2173</v>
      </c>
      <c r="U406" s="1433"/>
      <c r="V406" s="1435" t="str">
        <f>IFERROR(VLOOKUP(K406,【参考】数式用!$A$5:$AB$27,MATCH(U406,【参考】数式用!$B$4:$AB$4,0)+1,0),"")</f>
        <v/>
      </c>
      <c r="W406" s="1437" t="s">
        <v>19</v>
      </c>
      <c r="X406" s="1375">
        <v>6</v>
      </c>
      <c r="Y406" s="1377" t="s">
        <v>10</v>
      </c>
      <c r="Z406" s="1375">
        <v>6</v>
      </c>
      <c r="AA406" s="1377" t="s">
        <v>45</v>
      </c>
      <c r="AB406" s="1375">
        <v>7</v>
      </c>
      <c r="AC406" s="1377" t="s">
        <v>10</v>
      </c>
      <c r="AD406" s="1375">
        <v>3</v>
      </c>
      <c r="AE406" s="1377" t="s">
        <v>13</v>
      </c>
      <c r="AF406" s="1377" t="s">
        <v>24</v>
      </c>
      <c r="AG406" s="1377">
        <f>IF(X406&gt;=1,(AB406*12+AD406)-(X406*12+Z406)+1,"")</f>
        <v>10</v>
      </c>
      <c r="AH406" s="1379" t="s">
        <v>38</v>
      </c>
      <c r="AI406" s="1381" t="str">
        <f>IFERROR(ROUNDDOWN(ROUND(L406*V406,0)*M406,0)*AG406,"")</f>
        <v/>
      </c>
      <c r="AJ406" s="1383" t="str">
        <f>IFERROR(ROUNDDOWN(ROUND((L406*(V406-AX406)),0)*M406,0)*AG406,"")</f>
        <v/>
      </c>
      <c r="AK406" s="1385">
        <f>IFERROR(IF(OR(N406="",N407="",N409=""),0,ROUNDDOWN(ROUNDDOWN(ROUND(L406*VLOOKUP(K406,【参考】数式用!$A$5:$AB$27,MATCH("新加算Ⅳ",【参考】数式用!$B$4:$AB$4,0)+1,0),0)*M406,0)*AG406*0.5,0)),"")</f>
        <v>0</v>
      </c>
      <c r="AL406" s="1363"/>
      <c r="AM406" s="138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06"/>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2098</v>
      </c>
      <c r="BA406" s="1247" t="s">
        <v>2099</v>
      </c>
      <c r="BB406" s="1247" t="s">
        <v>2100</v>
      </c>
      <c r="BC406" s="1247" t="s">
        <v>2101</v>
      </c>
      <c r="BD406" s="1247" t="str">
        <f>IF(AND(P406&lt;&gt;"新加算Ⅰ",P406&lt;&gt;"新加算Ⅱ",P406&lt;&gt;"新加算Ⅲ",P406&lt;&gt;"新加算Ⅳ"),P406,IF(Q408&lt;&gt;"",Q408,""))</f>
        <v/>
      </c>
      <c r="BE406" s="1247"/>
      <c r="BF406" s="1247" t="str">
        <f t="shared" ref="BF406:BF410" si="311">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315"/>
      <c r="B407" s="1301"/>
      <c r="C407" s="1302"/>
      <c r="D407" s="1302"/>
      <c r="E407" s="1302"/>
      <c r="F407" s="1303"/>
      <c r="G407" s="1268"/>
      <c r="H407" s="1268"/>
      <c r="I407" s="1268"/>
      <c r="J407" s="1443"/>
      <c r="K407" s="1268"/>
      <c r="L407" s="1274"/>
      <c r="M407" s="1445"/>
      <c r="N407" s="1399" t="str">
        <f>IF('別紙様式2-2（４・５月分）'!Q309="","",'別紙様式2-2（４・５月分）'!Q309)</f>
        <v/>
      </c>
      <c r="O407" s="1420"/>
      <c r="P407" s="1426"/>
      <c r="Q407" s="1427"/>
      <c r="R407" s="1428"/>
      <c r="S407" s="1430"/>
      <c r="T407" s="1432"/>
      <c r="U407" s="1434"/>
      <c r="V407" s="1436"/>
      <c r="W407" s="1438"/>
      <c r="X407" s="1376"/>
      <c r="Y407" s="1378"/>
      <c r="Z407" s="1376"/>
      <c r="AA407" s="1378"/>
      <c r="AB407" s="1376"/>
      <c r="AC407" s="1378"/>
      <c r="AD407" s="1376"/>
      <c r="AE407" s="1378"/>
      <c r="AF407" s="1378"/>
      <c r="AG407" s="1378"/>
      <c r="AH407" s="1380"/>
      <c r="AI407" s="1382"/>
      <c r="AJ407" s="1384"/>
      <c r="AK407" s="1386"/>
      <c r="AL407" s="1364"/>
      <c r="AM407" s="1388"/>
      <c r="AN407" s="1360"/>
      <c r="AO407" s="1390"/>
      <c r="AP407" s="1394"/>
      <c r="AQ407" s="1394"/>
      <c r="AR407" s="1396"/>
      <c r="AS407" s="1348"/>
      <c r="AT407" s="1334" t="str">
        <f t="shared" si="308"/>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1"/>
      <c r="C408" s="1302"/>
      <c r="D408" s="1302"/>
      <c r="E408" s="1302"/>
      <c r="F408" s="1303"/>
      <c r="G408" s="1268"/>
      <c r="H408" s="1268"/>
      <c r="I408" s="1268"/>
      <c r="J408" s="1443"/>
      <c r="K408" s="1268"/>
      <c r="L408" s="1274"/>
      <c r="M408" s="1445"/>
      <c r="N408" s="1400"/>
      <c r="O408" s="1421"/>
      <c r="P408" s="1401" t="s">
        <v>2179</v>
      </c>
      <c r="Q408" s="1403" t="str">
        <f>IFERROR(VLOOKUP('別紙様式2-2（４・５月分）'!AR308,【参考】数式用!$AT$5:$AV$22,3,FALSE),"")</f>
        <v/>
      </c>
      <c r="R408" s="1405" t="s">
        <v>2190</v>
      </c>
      <c r="S408" s="1447" t="str">
        <f>IFERROR(VLOOKUP(K406,【参考】数式用!$A$5:$AB$27,MATCH(Q408,【参考】数式用!$B$4:$AB$4,0)+1,0),"")</f>
        <v/>
      </c>
      <c r="T408" s="1409" t="s">
        <v>217</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5" t="s">
        <v>38</v>
      </c>
      <c r="AI408" s="1367" t="str">
        <f>IFERROR(ROUNDDOWN(ROUND(L406*V408,0)*M406,0)*AG408,"")</f>
        <v/>
      </c>
      <c r="AJ408" s="1369" t="str">
        <f>IFERROR(ROUNDDOWN(ROUND((L406*(V408-AX406)),0)*M406,0)*AG408,"")</f>
        <v/>
      </c>
      <c r="AK408" s="1371">
        <f>IFERROR(IF(OR(N406="",N407="",N409=""),0,ROUNDDOWN(ROUNDDOWN(ROUND(L406*VLOOKUP(K406,【参考】数式用!$A$5:$AB$27,MATCH("新加算Ⅳ",【参考】数式用!$B$4:$AB$4,0)+1,0),0)*M406,0)*AG408*0.5,0)),"")</f>
        <v>0</v>
      </c>
      <c r="AL408" s="1361" t="str">
        <f t="shared" ref="AL408" si="312">IF(U408&lt;&gt;"","新規に適用","")</f>
        <v/>
      </c>
      <c r="AM408" s="1373">
        <f>IFERROR(IF(OR(N409="ベア加算",N409=""),0, IF(OR(U406="新加算Ⅰ",U406="新加算Ⅱ",U406="新加算Ⅲ",U406="新加算Ⅳ"),0,ROUNDDOWN(ROUND(L406*VLOOKUP(K406,【参考】数式用!$A$5:$I$27,MATCH("ベア加算",【参考】数式用!$B$4:$I$4,0)+1,0),0)*M406,0)*AG408)),"")</f>
        <v>0</v>
      </c>
      <c r="AN408" s="1345" t="str">
        <f>IF(AND(U408&lt;&gt;"",AN406=""),"新規に適用",IF(AND(U408&lt;&gt;"",AN406&lt;&gt;""),"継続で適用",""))</f>
        <v/>
      </c>
      <c r="AO408" s="1345" t="str">
        <f>IF(AND(U408&lt;&gt;"",AO406=""),"新規に適用",IF(AND(U408&lt;&gt;"",AO406&lt;&gt;""),"継続で適用",""))</f>
        <v/>
      </c>
      <c r="AP408" s="1391"/>
      <c r="AQ408" s="1345" t="str">
        <f>IF(AND(U408&lt;&gt;"",AQ406=""),"新規に適用",IF(AND(U408&lt;&gt;"",AQ406&lt;&gt;""),"継続で適用",""))</f>
        <v/>
      </c>
      <c r="AR408" s="1349" t="str">
        <f t="shared" si="274"/>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316"/>
      <c r="B409" s="1439"/>
      <c r="C409" s="1440"/>
      <c r="D409" s="1440"/>
      <c r="E409" s="1440"/>
      <c r="F409" s="1441"/>
      <c r="G409" s="1269"/>
      <c r="H409" s="1269"/>
      <c r="I409" s="1269"/>
      <c r="J409" s="1444"/>
      <c r="K409" s="1269"/>
      <c r="L409" s="1275"/>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66"/>
      <c r="AI409" s="1368"/>
      <c r="AJ409" s="1370"/>
      <c r="AK409" s="1372"/>
      <c r="AL409" s="1362"/>
      <c r="AM409" s="1374"/>
      <c r="AN409" s="1346"/>
      <c r="AO409" s="1346"/>
      <c r="AP409" s="1392"/>
      <c r="AQ409" s="1346"/>
      <c r="AR409" s="1350"/>
      <c r="AS409" s="1346"/>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4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2173</v>
      </c>
      <c r="U410" s="1433"/>
      <c r="V410" s="1435" t="str">
        <f>IFERROR(VLOOKUP(K410,【参考】数式用!$A$5:$AB$27,MATCH(U410,【参考】数式用!$B$4:$AB$4,0)+1,0),"")</f>
        <v/>
      </c>
      <c r="W410" s="1437" t="s">
        <v>19</v>
      </c>
      <c r="X410" s="1375">
        <v>6</v>
      </c>
      <c r="Y410" s="1377" t="s">
        <v>10</v>
      </c>
      <c r="Z410" s="1375">
        <v>6</v>
      </c>
      <c r="AA410" s="1377" t="s">
        <v>45</v>
      </c>
      <c r="AB410" s="1375">
        <v>7</v>
      </c>
      <c r="AC410" s="1377" t="s">
        <v>10</v>
      </c>
      <c r="AD410" s="1375">
        <v>3</v>
      </c>
      <c r="AE410" s="1377" t="s">
        <v>13</v>
      </c>
      <c r="AF410" s="1377" t="s">
        <v>24</v>
      </c>
      <c r="AG410" s="1377">
        <f>IF(X410&gt;=1,(AB410*12+AD410)-(X410*12+Z410)+1,"")</f>
        <v>10</v>
      </c>
      <c r="AH410" s="1379" t="s">
        <v>38</v>
      </c>
      <c r="AI410" s="1381" t="str">
        <f>IFERROR(ROUNDDOWN(ROUND(L410*V410,0)*M410,0)*AG410,"")</f>
        <v/>
      </c>
      <c r="AJ410" s="1383" t="str">
        <f>IFERROR(ROUNDDOWN(ROUND((L410*(V410-AX410)),0)*M410,0)*AG410,"")</f>
        <v/>
      </c>
      <c r="AK410" s="1385">
        <f>IFERROR(IF(OR(N410="",N411="",N413=""),0,ROUNDDOWN(ROUNDDOWN(ROUND(L410*VLOOKUP(K410,【参考】数式用!$A$5:$AB$27,MATCH("新加算Ⅳ",【参考】数式用!$B$4:$AB$4,0)+1,0),0)*M410,0)*AG410*0.5,0)),"")</f>
        <v>0</v>
      </c>
      <c r="AL410" s="1363"/>
      <c r="AM410" s="138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06"/>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2098</v>
      </c>
      <c r="BA410" s="1247" t="s">
        <v>2099</v>
      </c>
      <c r="BB410" s="1247" t="s">
        <v>2100</v>
      </c>
      <c r="BC410" s="1247" t="s">
        <v>2101</v>
      </c>
      <c r="BD410" s="1247" t="str">
        <f>IF(AND(P410&lt;&gt;"新加算Ⅰ",P410&lt;&gt;"新加算Ⅱ",P410&lt;&gt;"新加算Ⅲ",P410&lt;&gt;"新加算Ⅳ"),P410,IF(Q412&lt;&gt;"",Q412,""))</f>
        <v/>
      </c>
      <c r="BE410" s="1247"/>
      <c r="BF410" s="1247" t="str">
        <f t="shared" si="311"/>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315"/>
      <c r="B411" s="1301"/>
      <c r="C411" s="1302"/>
      <c r="D411" s="1302"/>
      <c r="E411" s="1302"/>
      <c r="F411" s="1303"/>
      <c r="G411" s="1268"/>
      <c r="H411" s="1268"/>
      <c r="I411" s="1268"/>
      <c r="J411" s="1443"/>
      <c r="K411" s="1268"/>
      <c r="L411" s="1274"/>
      <c r="M411" s="1277"/>
      <c r="N411" s="1399" t="str">
        <f>IF('別紙様式2-2（４・５月分）'!Q312="","",'別紙様式2-2（４・５月分）'!Q312)</f>
        <v/>
      </c>
      <c r="O411" s="1420"/>
      <c r="P411" s="1426"/>
      <c r="Q411" s="1427"/>
      <c r="R411" s="1428"/>
      <c r="S411" s="1430"/>
      <c r="T411" s="1432"/>
      <c r="U411" s="1434"/>
      <c r="V411" s="1436"/>
      <c r="W411" s="1438"/>
      <c r="X411" s="1376"/>
      <c r="Y411" s="1378"/>
      <c r="Z411" s="1376"/>
      <c r="AA411" s="1378"/>
      <c r="AB411" s="1376"/>
      <c r="AC411" s="1378"/>
      <c r="AD411" s="1376"/>
      <c r="AE411" s="1378"/>
      <c r="AF411" s="1378"/>
      <c r="AG411" s="1378"/>
      <c r="AH411" s="1380"/>
      <c r="AI411" s="1382"/>
      <c r="AJ411" s="1384"/>
      <c r="AK411" s="1386"/>
      <c r="AL411" s="1364"/>
      <c r="AM411" s="1388"/>
      <c r="AN411" s="1360"/>
      <c r="AO411" s="1390"/>
      <c r="AP411" s="1394"/>
      <c r="AQ411" s="1394"/>
      <c r="AR411" s="1396"/>
      <c r="AS411" s="1348"/>
      <c r="AT411" s="1334" t="str">
        <f t="shared" si="308"/>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1"/>
      <c r="C412" s="1302"/>
      <c r="D412" s="1302"/>
      <c r="E412" s="1302"/>
      <c r="F412" s="1303"/>
      <c r="G412" s="1268"/>
      <c r="H412" s="1268"/>
      <c r="I412" s="1268"/>
      <c r="J412" s="1443"/>
      <c r="K412" s="1268"/>
      <c r="L412" s="1274"/>
      <c r="M412" s="1277"/>
      <c r="N412" s="1400"/>
      <c r="O412" s="1421"/>
      <c r="P412" s="1401" t="s">
        <v>2179</v>
      </c>
      <c r="Q412" s="1403" t="str">
        <f>IFERROR(VLOOKUP('別紙様式2-2（４・５月分）'!AR311,【参考】数式用!$AT$5:$AV$22,3,FALSE),"")</f>
        <v/>
      </c>
      <c r="R412" s="1405" t="s">
        <v>2190</v>
      </c>
      <c r="S412" s="1407" t="str">
        <f>IFERROR(VLOOKUP(K410,【参考】数式用!$A$5:$AB$27,MATCH(Q412,【参考】数式用!$B$4:$AB$4,0)+1,0),"")</f>
        <v/>
      </c>
      <c r="T412" s="1409" t="s">
        <v>217</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5" t="s">
        <v>38</v>
      </c>
      <c r="AI412" s="1367" t="str">
        <f>IFERROR(ROUNDDOWN(ROUND(L410*V412,0)*M410,0)*AG412,"")</f>
        <v/>
      </c>
      <c r="AJ412" s="1369" t="str">
        <f>IFERROR(ROUNDDOWN(ROUND((L410*(V412-AX410)),0)*M410,0)*AG412,"")</f>
        <v/>
      </c>
      <c r="AK412" s="1371">
        <f>IFERROR(IF(OR(N410="",N411="",N413=""),0,ROUNDDOWN(ROUNDDOWN(ROUND(L410*VLOOKUP(K410,【参考】数式用!$A$5:$AB$27,MATCH("新加算Ⅳ",【参考】数式用!$B$4:$AB$4,0)+1,0),0)*M410,0)*AG412*0.5,0)),"")</f>
        <v>0</v>
      </c>
      <c r="AL412" s="1361" t="str">
        <f t="shared" ref="AL412" si="314">IF(U412&lt;&gt;"","新規に適用","")</f>
        <v/>
      </c>
      <c r="AM412" s="1373">
        <f>IFERROR(IF(OR(N413="ベア加算",N413=""),0, IF(OR(U410="新加算Ⅰ",U410="新加算Ⅱ",U410="新加算Ⅲ",U410="新加算Ⅳ"),0,ROUNDDOWN(ROUND(L410*VLOOKUP(K410,【参考】数式用!$A$5:$I$27,MATCH("ベア加算",【参考】数式用!$B$4:$I$4,0)+1,0),0)*M410,0)*AG412)),"")</f>
        <v>0</v>
      </c>
      <c r="AN412" s="1345" t="str">
        <f>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74"/>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316"/>
      <c r="B413" s="1439"/>
      <c r="C413" s="1440"/>
      <c r="D413" s="1440"/>
      <c r="E413" s="1440"/>
      <c r="F413" s="1441"/>
      <c r="G413" s="1269"/>
      <c r="H413" s="1269"/>
      <c r="I413" s="1269"/>
      <c r="J413" s="1444"/>
      <c r="K413" s="1269"/>
      <c r="L413" s="1275"/>
      <c r="M413" s="1278"/>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66"/>
      <c r="AI413" s="1368"/>
      <c r="AJ413" s="1370"/>
      <c r="AK413" s="1372"/>
      <c r="AL413" s="1362"/>
      <c r="AM413" s="1374"/>
      <c r="AN413" s="1346"/>
      <c r="AO413" s="1346"/>
      <c r="AP413" s="1392"/>
      <c r="AQ413" s="1346"/>
      <c r="AR413" s="1350"/>
      <c r="AS413" s="1346"/>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AF190:AF191"/>
    <mergeCell ref="AG190:AG191"/>
    <mergeCell ref="N191:N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E194:AE195"/>
    <mergeCell ref="AF194:AF195"/>
    <mergeCell ref="AG194:AG195"/>
    <mergeCell ref="AH194:AH195"/>
    <mergeCell ref="AI194:AI195"/>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O220:AO221"/>
    <mergeCell ref="AP220:AP221"/>
    <mergeCell ref="AQ220:AQ221"/>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I320:AI321"/>
    <mergeCell ref="AJ320:AJ321"/>
    <mergeCell ref="AK320:AK321"/>
    <mergeCell ref="AM320:AM321"/>
    <mergeCell ref="AO320:AO321"/>
    <mergeCell ref="AP320:AP321"/>
    <mergeCell ref="AQ320:AQ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AQ322:AQ323"/>
    <mergeCell ref="AR322:AR323"/>
    <mergeCell ref="AS322:AS323"/>
    <mergeCell ref="N323:N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G400:AG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300:AN301"/>
    <mergeCell ref="AN302:AN303"/>
    <mergeCell ref="AN304:AN30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236:AN237"/>
    <mergeCell ref="AN238:AN239"/>
    <mergeCell ref="AN240:AN241"/>
    <mergeCell ref="AN242:AN243"/>
    <mergeCell ref="AN316:AN317"/>
    <mergeCell ref="AN318:AN319"/>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336:AL337"/>
    <mergeCell ref="AL338:AL339"/>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election activeCell="AL13" sqref="AL13"/>
    </sheetView>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321" t="s">
        <v>5</v>
      </c>
      <c r="B3" s="1321"/>
      <c r="C3" s="1322"/>
      <c r="D3" s="1318" t="str">
        <f>IF(基本情報入力シート!M38="","",基本情報入力シート!M38)</f>
        <v/>
      </c>
      <c r="E3" s="1319"/>
      <c r="F3" s="1319"/>
      <c r="G3" s="1319"/>
      <c r="H3" s="1319"/>
      <c r="I3" s="1319"/>
      <c r="J3" s="1320"/>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62" t="s">
        <v>2370</v>
      </c>
      <c r="B5" s="1600"/>
      <c r="C5" s="1600"/>
      <c r="D5" s="1600"/>
      <c r="E5" s="1600"/>
      <c r="F5" s="1600"/>
      <c r="G5" s="1600"/>
      <c r="H5" s="1600"/>
      <c r="I5" s="1600"/>
      <c r="J5" s="1600"/>
      <c r="K5" s="1601"/>
      <c r="L5" s="628">
        <f>IFERROR(SUMIF(T:T, "区分変更後の算定予定", AI:AI),"")</f>
        <v>0</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2367</v>
      </c>
      <c r="C6" s="1328"/>
      <c r="D6" s="1328"/>
      <c r="E6" s="1328"/>
      <c r="F6" s="1328"/>
      <c r="G6" s="1328"/>
      <c r="H6" s="1328"/>
      <c r="I6" s="1328"/>
      <c r="J6" s="1328"/>
      <c r="K6" s="1329"/>
      <c r="L6" s="633">
        <f>IFERROR(SUMIF(T:T, "区分変更後の算定予定", AK:AK),"")</f>
        <v>0</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2112</v>
      </c>
      <c r="AL6" s="1353"/>
      <c r="AM6" s="1353"/>
      <c r="AN6" s="1353"/>
      <c r="AO6" s="1353"/>
      <c r="AP6" s="1353"/>
      <c r="AQ6" s="1354"/>
      <c r="AR6" s="668">
        <f>SUMIF(T:T,"区分変更後の算定予定",AR:AR)</f>
        <v>0</v>
      </c>
      <c r="AS6" s="537"/>
      <c r="AT6" s="524"/>
      <c r="AU6" s="524"/>
      <c r="AV6" s="1540" t="s">
        <v>2266</v>
      </c>
      <c r="AW6" s="1541"/>
      <c r="AY6" s="648"/>
      <c r="AZ6" s="648"/>
      <c r="BA6" s="648"/>
      <c r="BB6" s="648"/>
      <c r="BC6" s="648"/>
      <c r="BD6" s="648"/>
      <c r="BE6" s="648"/>
      <c r="BF6" s="648"/>
      <c r="BG6" s="648"/>
      <c r="BH6" s="648"/>
    </row>
    <row r="7" spans="1:60" ht="35.25" customHeight="1" thickBot="1">
      <c r="A7" s="632"/>
      <c r="B7" s="1517" t="s">
        <v>2368</v>
      </c>
      <c r="C7" s="1328"/>
      <c r="D7" s="1328"/>
      <c r="E7" s="1328"/>
      <c r="F7" s="1328"/>
      <c r="G7" s="1328"/>
      <c r="H7" s="1328"/>
      <c r="I7" s="1328"/>
      <c r="J7" s="1328"/>
      <c r="K7" s="1329"/>
      <c r="L7" s="633">
        <f>IFERROR(SUMIF(T:T, "区分変更後の算定予定", AM:AM),"")</f>
        <v>0</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2357</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2369</v>
      </c>
      <c r="C8" s="1328"/>
      <c r="D8" s="1328"/>
      <c r="E8" s="1328"/>
      <c r="F8" s="1328"/>
      <c r="G8" s="1328"/>
      <c r="H8" s="1328"/>
      <c r="I8" s="1328"/>
      <c r="J8" s="1328"/>
      <c r="K8" s="1329"/>
      <c r="L8" s="670">
        <f>IFERROR(SUMIF(T:T, "区分変更後の算定予定", AJ:AJ),"")</f>
        <v>0</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3" t="s">
        <v>2373</v>
      </c>
      <c r="B9" s="1293"/>
      <c r="C9" s="1293"/>
      <c r="D9" s="1293"/>
      <c r="E9" s="1293"/>
      <c r="F9" s="1293"/>
      <c r="G9" s="1293"/>
      <c r="H9" s="1293"/>
      <c r="I9" s="1293"/>
      <c r="J9" s="1293"/>
      <c r="K9" s="1293"/>
      <c r="L9" s="129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3"/>
      <c r="B10" s="1293"/>
      <c r="C10" s="1293"/>
      <c r="D10" s="1293"/>
      <c r="E10" s="1293"/>
      <c r="F10" s="1293"/>
      <c r="G10" s="1293"/>
      <c r="H10" s="1293"/>
      <c r="I10" s="1293"/>
      <c r="J10" s="1293"/>
      <c r="K10" s="1293"/>
      <c r="L10" s="129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4"/>
      <c r="B11" s="1294"/>
      <c r="C11" s="1294"/>
      <c r="D11" s="1294"/>
      <c r="E11" s="1294"/>
      <c r="F11" s="1294"/>
      <c r="G11" s="1294"/>
      <c r="H11" s="1294"/>
      <c r="I11" s="1294"/>
      <c r="J11" s="1294"/>
      <c r="K11" s="1294"/>
      <c r="L11" s="129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2205</v>
      </c>
      <c r="AU11" s="537"/>
      <c r="AY11" s="175"/>
      <c r="AZ11" s="175"/>
      <c r="BA11" s="175"/>
      <c r="BB11" s="175"/>
      <c r="BC11" s="175"/>
      <c r="BD11" s="175"/>
      <c r="BE11" s="175"/>
      <c r="BF11" s="175"/>
      <c r="BG11" s="175"/>
      <c r="BH11" s="175"/>
    </row>
    <row r="12" spans="1:60" ht="59.25" customHeight="1">
      <c r="A12" s="1323"/>
      <c r="B12" s="1279" t="s">
        <v>2328</v>
      </c>
      <c r="C12" s="1280"/>
      <c r="D12" s="1280"/>
      <c r="E12" s="1280"/>
      <c r="F12" s="1281"/>
      <c r="G12" s="1285" t="s">
        <v>63</v>
      </c>
      <c r="H12" s="1297" t="s">
        <v>88</v>
      </c>
      <c r="I12" s="1297"/>
      <c r="J12" s="1287" t="s">
        <v>69</v>
      </c>
      <c r="K12" s="1289" t="s">
        <v>40</v>
      </c>
      <c r="L12" s="1291" t="s">
        <v>2176</v>
      </c>
      <c r="M12" s="1295" t="s">
        <v>67</v>
      </c>
      <c r="N12" s="1248" t="s">
        <v>2268</v>
      </c>
      <c r="O12" s="1249" t="s">
        <v>2167</v>
      </c>
      <c r="P12" s="1491" t="s">
        <v>2334</v>
      </c>
      <c r="Q12" s="1492"/>
      <c r="R12" s="1493"/>
      <c r="S12" s="1502" t="s">
        <v>2113</v>
      </c>
      <c r="T12" s="1522" t="s">
        <v>2168</v>
      </c>
      <c r="U12" s="1523"/>
      <c r="V12" s="1249" t="s">
        <v>177</v>
      </c>
      <c r="W12" s="1471" t="s">
        <v>142</v>
      </c>
      <c r="X12" s="1484"/>
      <c r="Y12" s="1484"/>
      <c r="Z12" s="1484"/>
      <c r="AA12" s="1484"/>
      <c r="AB12" s="1484"/>
      <c r="AC12" s="1484"/>
      <c r="AD12" s="1484"/>
      <c r="AE12" s="1484"/>
      <c r="AF12" s="1484"/>
      <c r="AG12" s="1484"/>
      <c r="AH12" s="1485"/>
      <c r="AI12" s="1471" t="s">
        <v>2169</v>
      </c>
      <c r="AJ12" s="1583" t="s">
        <v>2331</v>
      </c>
      <c r="AK12" s="1585" t="s">
        <v>2194</v>
      </c>
      <c r="AL12" s="1254"/>
      <c r="AM12" s="1358" t="s">
        <v>2177</v>
      </c>
      <c r="AN12" s="1254"/>
      <c r="AO12" s="1253" t="s">
        <v>241</v>
      </c>
      <c r="AP12" s="1254"/>
      <c r="AQ12" s="543" t="s">
        <v>235</v>
      </c>
      <c r="AR12" s="543" t="s">
        <v>239</v>
      </c>
      <c r="AS12" s="544" t="s">
        <v>240</v>
      </c>
      <c r="AT12" s="1526" t="s">
        <v>2327</v>
      </c>
      <c r="AU12" s="673"/>
      <c r="AV12" s="519"/>
      <c r="BF12" s="1594" t="s">
        <v>2360</v>
      </c>
      <c r="BG12" s="1595"/>
      <c r="BH12" s="1596"/>
    </row>
    <row r="13" spans="1:60" ht="132.75" customHeight="1" thickBot="1">
      <c r="A13" s="1324"/>
      <c r="B13" s="1282"/>
      <c r="C13" s="1283"/>
      <c r="D13" s="1283"/>
      <c r="E13" s="1283"/>
      <c r="F13" s="1284"/>
      <c r="G13" s="1286"/>
      <c r="H13" s="545" t="s">
        <v>2329</v>
      </c>
      <c r="I13" s="545" t="s">
        <v>2330</v>
      </c>
      <c r="J13" s="1288"/>
      <c r="K13" s="1290"/>
      <c r="L13" s="1292"/>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2356</v>
      </c>
      <c r="AL13" s="675" t="s">
        <v>2191</v>
      </c>
      <c r="AM13" s="675" t="s">
        <v>2174</v>
      </c>
      <c r="AN13" s="676" t="s">
        <v>2192</v>
      </c>
      <c r="AO13" s="676" t="s">
        <v>2332</v>
      </c>
      <c r="AP13" s="675" t="s">
        <v>2333</v>
      </c>
      <c r="AQ13" s="677" t="s">
        <v>234</v>
      </c>
      <c r="AR13" s="552" t="s">
        <v>2344</v>
      </c>
      <c r="AS13" s="678" t="s">
        <v>2337</v>
      </c>
      <c r="AT13" s="1331"/>
      <c r="AU13" s="673"/>
      <c r="AV13" s="555" t="s">
        <v>2187</v>
      </c>
      <c r="AW13" s="657" t="s">
        <v>2214</v>
      </c>
      <c r="AX13" s="657" t="s">
        <v>2215</v>
      </c>
      <c r="AY13" s="555" t="s">
        <v>2181</v>
      </c>
      <c r="AZ13" s="555" t="s">
        <v>2195</v>
      </c>
      <c r="BA13" s="555" t="s">
        <v>2182</v>
      </c>
      <c r="BB13" s="555" t="s">
        <v>2183</v>
      </c>
      <c r="BC13" s="555" t="s">
        <v>2184</v>
      </c>
      <c r="BD13" s="558" t="s">
        <v>2185</v>
      </c>
      <c r="BE13" s="558" t="s">
        <v>2186</v>
      </c>
      <c r="BF13" s="1597"/>
      <c r="BG13" s="1598"/>
      <c r="BH13" s="1599"/>
    </row>
    <row r="14" spans="1:60" ht="30" customHeight="1">
      <c r="A14" s="131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442" t="str">
        <f>IF(基本情報入力シート!X54="","",基本情報入力シート!X54)</f>
        <v/>
      </c>
      <c r="K14" s="1267" t="str">
        <f>IF(基本情報入力シート!Y54="","",基本情報入力シート!Y54)</f>
        <v/>
      </c>
      <c r="L14" s="1465" t="str">
        <f>IF(基本情報入力シート!AB54="","",基本情報入力シート!AB54)</f>
        <v/>
      </c>
      <c r="M14" s="1462" t="str">
        <f>IF(基本情報入力シート!AC54="","",基本情報入力シート!AC54)</f>
        <v/>
      </c>
      <c r="N14" s="659" t="str">
        <f>IF('別紙様式2-2（４・５月分）'!Q14="","",'別紙様式2-2（４・５月分）'!Q14)</f>
        <v/>
      </c>
      <c r="O14" s="1419" t="str">
        <f>IF(SUM('別紙様式2-2（４・５月分）'!R14:R16)=0,"",SUM('別紙様式2-2（４・５月分）'!R14:R16))</f>
        <v/>
      </c>
      <c r="P14" s="1423" t="str">
        <f>IFERROR(VLOOKUP('別紙様式2-2（４・５月分）'!AR14,【参考】数式用!$AT$5:$AU$22,2,FALSE),"")</f>
        <v/>
      </c>
      <c r="Q14" s="1424"/>
      <c r="R14" s="1425"/>
      <c r="S14" s="1429" t="str">
        <f>IFERROR(VLOOKUP(K14,【参考】数式用!$A$5:$AB$27,MATCH(P14,【参考】数式用!$B$4:$AB$4,0)+1,0),"")</f>
        <v/>
      </c>
      <c r="T14" s="1431" t="s">
        <v>2193</v>
      </c>
      <c r="U14" s="1576" t="str">
        <f>IF('別紙様式2-3（６月以降分）'!U14="","",'別紙様式2-3（６月以降分）'!U14)</f>
        <v/>
      </c>
      <c r="V14" s="1435" t="str">
        <f>IFERROR(VLOOKUP(K14,【参考】数式用!$A$5:$AB$27,MATCH(U14,【参考】数式用!$B$4:$AB$4,0)+1,0),"")</f>
        <v/>
      </c>
      <c r="W14" s="1437" t="s">
        <v>19</v>
      </c>
      <c r="X14" s="1574">
        <f>'別紙様式2-3（６月以降分）'!X14</f>
        <v>6</v>
      </c>
      <c r="Y14" s="1377" t="s">
        <v>10</v>
      </c>
      <c r="Z14" s="1574">
        <f>'別紙様式2-3（６月以降分）'!Z14</f>
        <v>6</v>
      </c>
      <c r="AA14" s="1377" t="s">
        <v>45</v>
      </c>
      <c r="AB14" s="1574">
        <f>'別紙様式2-3（６月以降分）'!AB14</f>
        <v>7</v>
      </c>
      <c r="AC14" s="1377" t="s">
        <v>10</v>
      </c>
      <c r="AD14" s="1574">
        <f>'別紙様式2-3（６月以降分）'!AD14</f>
        <v>3</v>
      </c>
      <c r="AE14" s="1377" t="s">
        <v>13</v>
      </c>
      <c r="AF14" s="1377" t="s">
        <v>24</v>
      </c>
      <c r="AG14" s="1377">
        <f>IF(X14&gt;=1,(AB14*12+AD14)-(X14*12+Z14)+1,"")</f>
        <v>10</v>
      </c>
      <c r="AH14" s="1379" t="s">
        <v>38</v>
      </c>
      <c r="AI14" s="1381" t="str">
        <f>'別紙様式2-3（６月以降分）'!AI14</f>
        <v/>
      </c>
      <c r="AJ14" s="1568" t="str">
        <f>'別紙様式2-3（６月以降分）'!AJ14</f>
        <v/>
      </c>
      <c r="AK14" s="1586">
        <f>'別紙様式2-3（６月以降分）'!AK14</f>
        <v>0</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
      </c>
      <c r="AP14" s="1359" t="str">
        <f>IF('別紙様式2-3（６月以降分）'!AP14="","",'別紙様式2-3（６月以降分）'!AP14)</f>
        <v/>
      </c>
      <c r="AQ14" s="1393" t="str">
        <f>IF('別紙様式2-3（６月以降分）'!AQ14="","",'別紙様式2-3（６月以降分）'!AQ14)</f>
        <v/>
      </c>
      <c r="AR14" s="1535" t="str">
        <f>IF('別紙様式2-3（６月以降分）'!AR14="","",'別紙様式2-3（６月以降分）'!AR14)</f>
        <v/>
      </c>
      <c r="AS14" s="1538" t="str">
        <f>IF('別紙様式2-3（６月以降分）'!AS14="","",'別紙様式2-3（６月以降分）'!AS14)</f>
        <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
      </c>
      <c r="AX14" s="1340" t="str">
        <f>IF(SUM('別紙様式2-2（４・５月分）'!P14:P16)=0,"",SUM('別紙様式2-2（４・５月分）'!P14:P16))</f>
        <v/>
      </c>
      <c r="AY14" s="1548" t="str">
        <f>IFERROR(VLOOKUP(K14,【参考】数式用!$AJ$2:$AK$24,2,FALSE),"")</f>
        <v/>
      </c>
      <c r="AZ14" s="596"/>
      <c r="BE14" s="440"/>
      <c r="BF14" s="1335" t="str">
        <f>G14</f>
        <v/>
      </c>
      <c r="BG14" s="1335"/>
      <c r="BH14" s="1335"/>
    </row>
    <row r="15" spans="1:60" ht="15" customHeight="1">
      <c r="A15" s="1315"/>
      <c r="B15" s="1301"/>
      <c r="C15" s="1302"/>
      <c r="D15" s="1302"/>
      <c r="E15" s="1302"/>
      <c r="F15" s="1303"/>
      <c r="G15" s="1268"/>
      <c r="H15" s="1268"/>
      <c r="I15" s="1268"/>
      <c r="J15" s="1443"/>
      <c r="K15" s="1268"/>
      <c r="L15" s="1454"/>
      <c r="M15" s="1463"/>
      <c r="N15" s="1399" t="str">
        <f>IF('別紙様式2-2（４・５月分）'!Q15="","",'別紙様式2-2（４・５月分）'!Q15)</f>
        <v/>
      </c>
      <c r="O15" s="1420"/>
      <c r="P15" s="1426"/>
      <c r="Q15" s="1427"/>
      <c r="R15" s="1428"/>
      <c r="S15" s="1430"/>
      <c r="T15" s="1432"/>
      <c r="U15" s="1577"/>
      <c r="V15" s="1436"/>
      <c r="W15" s="1438"/>
      <c r="X15" s="1575"/>
      <c r="Y15" s="1378"/>
      <c r="Z15" s="1575"/>
      <c r="AA15" s="1378"/>
      <c r="AB15" s="1575"/>
      <c r="AC15" s="1378"/>
      <c r="AD15" s="1575"/>
      <c r="AE15" s="1378"/>
      <c r="AF15" s="1378"/>
      <c r="AG15" s="1378"/>
      <c r="AH15" s="1380"/>
      <c r="AI15" s="1382"/>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
      </c>
      <c r="AX15" s="1337"/>
      <c r="AY15" s="1528"/>
      <c r="AZ15" s="533"/>
      <c r="BE15" s="440"/>
      <c r="BF15" s="1335" t="str">
        <f>G14</f>
        <v/>
      </c>
      <c r="BG15" s="1335"/>
      <c r="BH15" s="1335"/>
    </row>
    <row r="16" spans="1:60" ht="15" customHeight="1">
      <c r="A16" s="1326"/>
      <c r="B16" s="1301"/>
      <c r="C16" s="1302"/>
      <c r="D16" s="1302"/>
      <c r="E16" s="1302"/>
      <c r="F16" s="1303"/>
      <c r="G16" s="1268"/>
      <c r="H16" s="1268"/>
      <c r="I16" s="1268"/>
      <c r="J16" s="1443"/>
      <c r="K16" s="1268"/>
      <c r="L16" s="1454"/>
      <c r="M16" s="1463"/>
      <c r="N16" s="1400"/>
      <c r="O16" s="1421"/>
      <c r="P16" s="1479" t="s">
        <v>2179</v>
      </c>
      <c r="Q16" s="1460" t="str">
        <f>IFERROR(VLOOKUP('別紙様式2-2（４・５月分）'!AR14,【参考】数式用!$AT$5:$AV$22,3,FALSE),"")</f>
        <v/>
      </c>
      <c r="R16" s="1477" t="s">
        <v>2190</v>
      </c>
      <c r="S16" s="1407" t="str">
        <f>IFERROR(VLOOKUP(K14,【参考】数式用!$A$5:$AB$27,MATCH(Q16,【参考】数式用!$B$4:$AB$4,0)+1,0),"")</f>
        <v/>
      </c>
      <c r="T16" s="1409" t="s">
        <v>2267</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5" t="s">
        <v>38</v>
      </c>
      <c r="AI16" s="1489" t="str">
        <f>IFERROR(ROUNDDOWN(ROUND(L14*V16,0)*M14,0)*AG16,"")</f>
        <v/>
      </c>
      <c r="AJ16" s="1553" t="str">
        <f>IFERROR(ROUNDDOWN(ROUND((L14*(V16-AX14)),0)*M14,0)*AG16,"")</f>
        <v/>
      </c>
      <c r="AK16" s="1371"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IF(AND(AB14&lt;&gt;7,AD14&lt;&gt;3),"V列に色付け","")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
      </c>
      <c r="BG16" s="1335"/>
      <c r="BH16" s="1335"/>
    </row>
    <row r="17" spans="1:60" ht="30" customHeight="1" thickBot="1">
      <c r="A17" s="1316"/>
      <c r="B17" s="1439"/>
      <c r="C17" s="1440"/>
      <c r="D17" s="1440"/>
      <c r="E17" s="1440"/>
      <c r="F17" s="1441"/>
      <c r="G17" s="1269"/>
      <c r="H17" s="1269"/>
      <c r="I17" s="1269"/>
      <c r="J17" s="1444"/>
      <c r="K17" s="1269"/>
      <c r="L17" s="1455"/>
      <c r="M17" s="1464"/>
      <c r="N17" s="662" t="str">
        <f>IF('別紙様式2-2（４・５月分）'!Q16="","",'別紙様式2-2（４・５月分）'!Q16)</f>
        <v/>
      </c>
      <c r="O17" s="1422"/>
      <c r="P17" s="1480"/>
      <c r="Q17" s="1461"/>
      <c r="R17" s="1478"/>
      <c r="S17" s="1408"/>
      <c r="T17" s="1410"/>
      <c r="U17" s="1562"/>
      <c r="V17" s="1414"/>
      <c r="W17" s="1416"/>
      <c r="X17" s="1560"/>
      <c r="Y17" s="1398"/>
      <c r="Z17" s="1560"/>
      <c r="AA17" s="1398"/>
      <c r="AB17" s="1560"/>
      <c r="AC17" s="1398"/>
      <c r="AD17" s="1560"/>
      <c r="AE17" s="1398"/>
      <c r="AF17" s="1398"/>
      <c r="AG17" s="1398"/>
      <c r="AH17" s="1366"/>
      <c r="AI17" s="1490"/>
      <c r="AJ17" s="1554"/>
      <c r="AK17" s="1372"/>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
      </c>
      <c r="BG17" s="1335"/>
      <c r="BH17" s="1335"/>
    </row>
    <row r="18" spans="1:60" ht="30" customHeight="1">
      <c r="A18" s="1325">
        <v>2</v>
      </c>
      <c r="B18" s="1301" t="str">
        <f>IF(基本情報入力シート!C55="","",基本情報入力シート!C55)</f>
        <v/>
      </c>
      <c r="C18" s="1302"/>
      <c r="D18" s="1302"/>
      <c r="E18" s="1302"/>
      <c r="F18" s="1303"/>
      <c r="G18" s="1268" t="str">
        <f>IF(基本情報入力シート!M55="","",基本情報入力シート!M55)</f>
        <v/>
      </c>
      <c r="H18" s="1268" t="str">
        <f>IF(基本情報入力シート!R55="","",基本情報入力シート!R55)</f>
        <v/>
      </c>
      <c r="I18" s="1268" t="str">
        <f>IF(基本情報入力シート!W55="","",基本情報入力シート!W55)</f>
        <v/>
      </c>
      <c r="J18" s="1443"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2193</v>
      </c>
      <c r="U18" s="1576" t="str">
        <f>IF('別紙様式2-3（６月以降分）'!U18="","",'別紙様式2-3（６月以降分）'!U18)</f>
        <v/>
      </c>
      <c r="V18" s="1435" t="str">
        <f>IFERROR(VLOOKUP(K18,【参考】数式用!$A$5:$AB$27,MATCH(U18,【参考】数式用!$B$4:$AB$4,0)+1,0),"")</f>
        <v/>
      </c>
      <c r="W18" s="1437" t="s">
        <v>19</v>
      </c>
      <c r="X18" s="1574">
        <f>'別紙様式2-3（６月以降分）'!X18</f>
        <v>6</v>
      </c>
      <c r="Y18" s="1377" t="s">
        <v>10</v>
      </c>
      <c r="Z18" s="1574">
        <f>'別紙様式2-3（６月以降分）'!Z18</f>
        <v>6</v>
      </c>
      <c r="AA18" s="1377" t="s">
        <v>45</v>
      </c>
      <c r="AB18" s="1574">
        <f>'別紙様式2-3（６月以降分）'!AB18</f>
        <v>7</v>
      </c>
      <c r="AC18" s="1377" t="s">
        <v>10</v>
      </c>
      <c r="AD18" s="1574">
        <f>'別紙様式2-3（６月以降分）'!AD18</f>
        <v>3</v>
      </c>
      <c r="AE18" s="1377" t="s">
        <v>13</v>
      </c>
      <c r="AF18" s="1377" t="s">
        <v>24</v>
      </c>
      <c r="AG18" s="1377">
        <f>IF(X18&gt;=1,(AB18*12+AD18)-(X18*12+Z18)+1,"")</f>
        <v>10</v>
      </c>
      <c r="AH18" s="1379" t="s">
        <v>38</v>
      </c>
      <c r="AI18" s="1381" t="str">
        <f>'別紙様式2-3（６月以降分）'!AI18</f>
        <v/>
      </c>
      <c r="AJ18" s="1568" t="str">
        <f>'別紙様式2-3（６月以降分）'!AJ18</f>
        <v/>
      </c>
      <c r="AK18" s="1570">
        <f>'別紙様式2-3（６月以降分）'!AK18</f>
        <v>0</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
      </c>
      <c r="AP18" s="1359" t="str">
        <f>IF('別紙様式2-3（６月以降分）'!AP18="","",'別紙様式2-3（６月以降分）'!AP18)</f>
        <v/>
      </c>
      <c r="AQ18" s="1393" t="str">
        <f>IF('別紙様式2-3（６月以降分）'!AQ18="","",'別紙様式2-3（６月以降分）'!AQ18)</f>
        <v/>
      </c>
      <c r="AR18" s="1535" t="str">
        <f>IF('別紙様式2-3（６月以降分）'!AR18="","",'別紙様式2-3（６月以降分）'!AR18)</f>
        <v/>
      </c>
      <c r="AS18" s="1538" t="str">
        <f>IF('別紙様式2-3（６月以降分）'!AS18="","",'別紙様式2-3（６月以降分）'!AS18)</f>
        <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
      </c>
      <c r="AX18" s="1337" t="str">
        <f>IF(SUM('別紙様式2-2（４・５月分）'!P17:P19)=0,"",SUM('別紙様式2-2（４・５月分）'!P17:P19))</f>
        <v/>
      </c>
      <c r="AY18" s="1528" t="str">
        <f>IFERROR(VLOOKUP(K18,【参考】数式用!$AJ$2:$AK$24,2,FALSE),"")</f>
        <v/>
      </c>
      <c r="AZ18" s="596"/>
      <c r="BE18" s="440"/>
      <c r="BF18" s="1335" t="str">
        <f>G18</f>
        <v/>
      </c>
      <c r="BG18" s="1335"/>
      <c r="BH18" s="1335"/>
    </row>
    <row r="19" spans="1:60" ht="15" customHeight="1">
      <c r="A19" s="1315"/>
      <c r="B19" s="1301"/>
      <c r="C19" s="1302"/>
      <c r="D19" s="1302"/>
      <c r="E19" s="1302"/>
      <c r="F19" s="1303"/>
      <c r="G19" s="1268"/>
      <c r="H19" s="1268"/>
      <c r="I19" s="1268"/>
      <c r="J19" s="1443"/>
      <c r="K19" s="1268"/>
      <c r="L19" s="1454"/>
      <c r="M19" s="1456"/>
      <c r="N19" s="1399" t="str">
        <f>IF('別紙様式2-2（４・５月分）'!Q18="","",'別紙様式2-2（４・５月分）'!Q18)</f>
        <v/>
      </c>
      <c r="O19" s="1420"/>
      <c r="P19" s="1426"/>
      <c r="Q19" s="1427"/>
      <c r="R19" s="1428"/>
      <c r="S19" s="1430"/>
      <c r="T19" s="1432"/>
      <c r="U19" s="1577"/>
      <c r="V19" s="1436"/>
      <c r="W19" s="1438"/>
      <c r="X19" s="1575"/>
      <c r="Y19" s="1378"/>
      <c r="Z19" s="1575"/>
      <c r="AA19" s="1378"/>
      <c r="AB19" s="1575"/>
      <c r="AC19" s="1378"/>
      <c r="AD19" s="1575"/>
      <c r="AE19" s="1378"/>
      <c r="AF19" s="1378"/>
      <c r="AG19" s="1378"/>
      <c r="AH19" s="1380"/>
      <c r="AI19" s="1382"/>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
      </c>
      <c r="AX19" s="1337"/>
      <c r="AY19" s="1528"/>
      <c r="AZ19" s="533"/>
      <c r="BE19" s="440"/>
      <c r="BF19" s="1335" t="str">
        <f>G18</f>
        <v/>
      </c>
      <c r="BG19" s="1335"/>
      <c r="BH19" s="1335"/>
    </row>
    <row r="20" spans="1:60" ht="15" customHeight="1">
      <c r="A20" s="1326"/>
      <c r="B20" s="1301"/>
      <c r="C20" s="1302"/>
      <c r="D20" s="1302"/>
      <c r="E20" s="1302"/>
      <c r="F20" s="1303"/>
      <c r="G20" s="1268"/>
      <c r="H20" s="1268"/>
      <c r="I20" s="1268"/>
      <c r="J20" s="1443"/>
      <c r="K20" s="1268"/>
      <c r="L20" s="1454"/>
      <c r="M20" s="1456"/>
      <c r="N20" s="1400"/>
      <c r="O20" s="1421"/>
      <c r="P20" s="1479" t="s">
        <v>2179</v>
      </c>
      <c r="Q20" s="1460" t="str">
        <f>IFERROR(VLOOKUP('別紙様式2-2（４・５月分）'!AR17,【参考】数式用!$AT$5:$AV$22,3,FALSE),"")</f>
        <v/>
      </c>
      <c r="R20" s="1477" t="s">
        <v>2190</v>
      </c>
      <c r="S20" s="1447" t="str">
        <f>IFERROR(VLOOKUP(K18,【参考】数式用!$A$5:$AB$27,MATCH(Q20,【参考】数式用!$B$4:$AB$4,0)+1,0),"")</f>
        <v/>
      </c>
      <c r="T20" s="1409" t="s">
        <v>2267</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5" t="s">
        <v>38</v>
      </c>
      <c r="AI20" s="1489" t="str">
        <f>IFERROR(ROUNDDOWN(ROUND(L18*V20,0)*M18,0)*AG20,"")</f>
        <v/>
      </c>
      <c r="AJ20" s="1553" t="str">
        <f>IFERROR(ROUNDDOWN(ROUND((L18*(V20-AX18)),0)*M18,0)*AG20,"")</f>
        <v/>
      </c>
      <c r="AK20" s="1371"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IF(AND(AB18&lt;&gt;7,AD18&lt;&gt;3),"V列に色付け","")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
      </c>
      <c r="BG20" s="1335"/>
      <c r="BH20" s="1335"/>
    </row>
    <row r="21" spans="1:60" ht="30" customHeight="1" thickBot="1">
      <c r="A21" s="1316"/>
      <c r="B21" s="1439"/>
      <c r="C21" s="1440"/>
      <c r="D21" s="1440"/>
      <c r="E21" s="1440"/>
      <c r="F21" s="1441"/>
      <c r="G21" s="1269"/>
      <c r="H21" s="1269"/>
      <c r="I21" s="1269"/>
      <c r="J21" s="1444"/>
      <c r="K21" s="1269"/>
      <c r="L21" s="1455"/>
      <c r="M21" s="1457"/>
      <c r="N21" s="662" t="str">
        <f>IF('別紙様式2-2（４・５月分）'!Q19="","",'別紙様式2-2（４・５月分）'!Q19)</f>
        <v/>
      </c>
      <c r="O21" s="1422"/>
      <c r="P21" s="1480"/>
      <c r="Q21" s="1461"/>
      <c r="R21" s="1478"/>
      <c r="S21" s="1408"/>
      <c r="T21" s="1410"/>
      <c r="U21" s="1562"/>
      <c r="V21" s="1414"/>
      <c r="W21" s="1416"/>
      <c r="X21" s="1560"/>
      <c r="Y21" s="1398"/>
      <c r="Z21" s="1560"/>
      <c r="AA21" s="1398"/>
      <c r="AB21" s="1560"/>
      <c r="AC21" s="1398"/>
      <c r="AD21" s="1560"/>
      <c r="AE21" s="1398"/>
      <c r="AF21" s="1398"/>
      <c r="AG21" s="1398"/>
      <c r="AH21" s="1366"/>
      <c r="AI21" s="1490"/>
      <c r="AJ21" s="1554"/>
      <c r="AK21" s="1372"/>
      <c r="AL21" s="1556"/>
      <c r="AM21" s="1580"/>
      <c r="AN21" s="1550"/>
      <c r="AO21" s="1530"/>
      <c r="AP21" s="1552"/>
      <c r="AQ21" s="1530"/>
      <c r="AR21" s="1532"/>
      <c r="AS21" s="153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
      </c>
      <c r="BG21" s="1335"/>
      <c r="BH21" s="1335"/>
    </row>
    <row r="22" spans="1:60" ht="30" customHeight="1">
      <c r="A22" s="1314">
        <v>3</v>
      </c>
      <c r="B22" s="1298" t="str">
        <f>IF(基本情報入力シート!C56="","",基本情報入力シート!C56)</f>
        <v/>
      </c>
      <c r="C22" s="1299"/>
      <c r="D22" s="1299"/>
      <c r="E22" s="1299"/>
      <c r="F22" s="1300"/>
      <c r="G22" s="1267" t="str">
        <f>IF(基本情報入力シート!M56="","",基本情報入力シート!M56)</f>
        <v/>
      </c>
      <c r="H22" s="1267" t="str">
        <f>IF(基本情報入力シート!R56="","",基本情報入力シート!R56)</f>
        <v/>
      </c>
      <c r="I22" s="1267" t="str">
        <f>IF(基本情報入力シート!W56="","",基本情報入力シート!W56)</f>
        <v/>
      </c>
      <c r="J22" s="1442" t="str">
        <f>IF(基本情報入力シート!X56="","",基本情報入力シート!X56)</f>
        <v/>
      </c>
      <c r="K22" s="1267" t="str">
        <f>IF(基本情報入力シート!Y56="","",基本情報入力シート!Y56)</f>
        <v/>
      </c>
      <c r="L22" s="1465" t="str">
        <f>IF(基本情報入力シート!AB56="","",基本情報入力シート!AB56)</f>
        <v/>
      </c>
      <c r="M22" s="1462" t="str">
        <f>IF(基本情報入力シート!AC56="","",基本情報入力シート!AC56)</f>
        <v/>
      </c>
      <c r="N22" s="659"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2193</v>
      </c>
      <c r="U22" s="1576" t="str">
        <f>IF('別紙様式2-3（６月以降分）'!U22="","",'別紙様式2-3（６月以降分）'!U22)</f>
        <v/>
      </c>
      <c r="V22" s="1435" t="str">
        <f>IFERROR(VLOOKUP(K22,【参考】数式用!$A$5:$AB$27,MATCH(U22,【参考】数式用!$B$4:$AB$4,0)+1,0),"")</f>
        <v/>
      </c>
      <c r="W22" s="1437" t="s">
        <v>19</v>
      </c>
      <c r="X22" s="1574">
        <f>'別紙様式2-3（６月以降分）'!X22</f>
        <v>6</v>
      </c>
      <c r="Y22" s="1377" t="s">
        <v>10</v>
      </c>
      <c r="Z22" s="1574">
        <f>'別紙様式2-3（６月以降分）'!Z22</f>
        <v>6</v>
      </c>
      <c r="AA22" s="1377" t="s">
        <v>45</v>
      </c>
      <c r="AB22" s="1574">
        <f>'別紙様式2-3（６月以降分）'!AB22</f>
        <v>7</v>
      </c>
      <c r="AC22" s="1377" t="s">
        <v>10</v>
      </c>
      <c r="AD22" s="1574">
        <f>'別紙様式2-3（６月以降分）'!AD22</f>
        <v>3</v>
      </c>
      <c r="AE22" s="1377" t="s">
        <v>2172</v>
      </c>
      <c r="AF22" s="1377" t="s">
        <v>24</v>
      </c>
      <c r="AG22" s="1377">
        <f>IF(X22&gt;=1,(AB22*12+AD22)-(X22*12+Z22)+1,"")</f>
        <v>10</v>
      </c>
      <c r="AH22" s="1379" t="s">
        <v>38</v>
      </c>
      <c r="AI22" s="1381" t="str">
        <f>'別紙様式2-3（６月以降分）'!AI22</f>
        <v/>
      </c>
      <c r="AJ22" s="1568" t="str">
        <f>'別紙様式2-3（６月以降分）'!AJ22</f>
        <v/>
      </c>
      <c r="AK22" s="1570">
        <f>'別紙様式2-3（６月以降分）'!AK22</f>
        <v>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
      </c>
      <c r="AX22" s="1337" t="str">
        <f>IF(SUM('別紙様式2-2（４・５月分）'!P20:P22)=0,"",SUM('別紙様式2-2（４・５月分）'!P20:P22))</f>
        <v/>
      </c>
      <c r="AY22" s="1548" t="str">
        <f>IFERROR(VLOOKUP(K22,【参考】数式用!$AJ$2:$AK$24,2,FALSE),"")</f>
        <v/>
      </c>
      <c r="AZ22" s="596"/>
      <c r="BE22" s="440"/>
      <c r="BF22" s="1335" t="str">
        <f>G22</f>
        <v/>
      </c>
      <c r="BG22" s="1335"/>
      <c r="BH22" s="1335"/>
    </row>
    <row r="23" spans="1:60" ht="15" customHeight="1">
      <c r="A23" s="1315"/>
      <c r="B23" s="1301"/>
      <c r="C23" s="1302"/>
      <c r="D23" s="1302"/>
      <c r="E23" s="1302"/>
      <c r="F23" s="1303"/>
      <c r="G23" s="1268"/>
      <c r="H23" s="1268"/>
      <c r="I23" s="1268"/>
      <c r="J23" s="1443"/>
      <c r="K23" s="1268"/>
      <c r="L23" s="1454"/>
      <c r="M23" s="1463"/>
      <c r="N23" s="1399" t="str">
        <f>IF('別紙様式2-2（４・５月分）'!Q21="","",'別紙様式2-2（４・５月分）'!Q21)</f>
        <v/>
      </c>
      <c r="O23" s="1420"/>
      <c r="P23" s="1426"/>
      <c r="Q23" s="1427"/>
      <c r="R23" s="1428"/>
      <c r="S23" s="1430"/>
      <c r="T23" s="1432"/>
      <c r="U23" s="1577"/>
      <c r="V23" s="1436"/>
      <c r="W23" s="1438"/>
      <c r="X23" s="1575"/>
      <c r="Y23" s="1378"/>
      <c r="Z23" s="1575"/>
      <c r="AA23" s="1378"/>
      <c r="AB23" s="1575"/>
      <c r="AC23" s="1378"/>
      <c r="AD23" s="1575"/>
      <c r="AE23" s="1378"/>
      <c r="AF23" s="1378"/>
      <c r="AG23" s="1378"/>
      <c r="AH23" s="1380"/>
      <c r="AI23" s="1382"/>
      <c r="AJ23" s="1569"/>
      <c r="AK23" s="1571"/>
      <c r="AL23" s="1573"/>
      <c r="AM23" s="1564"/>
      <c r="AN23" s="1566"/>
      <c r="AO23" s="1394"/>
      <c r="AP23" s="1567"/>
      <c r="AQ23" s="1394"/>
      <c r="AR23" s="1536"/>
      <c r="AS23" s="1539"/>
      <c r="AT23" s="1537" t="str">
        <f t="shared" ref="AT23" si="4">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
      </c>
      <c r="AX23" s="1337"/>
      <c r="AY23" s="1528"/>
      <c r="AZ23" s="533"/>
      <c r="BE23" s="440"/>
      <c r="BF23" s="1335" t="str">
        <f>G22</f>
        <v/>
      </c>
      <c r="BG23" s="1335"/>
      <c r="BH23" s="1335"/>
    </row>
    <row r="24" spans="1:60" ht="15" customHeight="1">
      <c r="A24" s="1326"/>
      <c r="B24" s="1301"/>
      <c r="C24" s="1302"/>
      <c r="D24" s="1302"/>
      <c r="E24" s="1302"/>
      <c r="F24" s="1303"/>
      <c r="G24" s="1268"/>
      <c r="H24" s="1268"/>
      <c r="I24" s="1268"/>
      <c r="J24" s="1443"/>
      <c r="K24" s="1268"/>
      <c r="L24" s="1454"/>
      <c r="M24" s="1463"/>
      <c r="N24" s="1400"/>
      <c r="O24" s="1421"/>
      <c r="P24" s="1401" t="s">
        <v>2179</v>
      </c>
      <c r="Q24" s="1460" t="str">
        <f>IFERROR(VLOOKUP('別紙様式2-2（４・５月分）'!AR20,【参考】数式用!$AT$5:$AV$22,3,FALSE),"")</f>
        <v/>
      </c>
      <c r="R24" s="1405" t="s">
        <v>2190</v>
      </c>
      <c r="S24" s="1407" t="str">
        <f>IFERROR(VLOOKUP(K22,【参考】数式用!$A$5:$AB$27,MATCH(Q24,【参考】数式用!$B$4:$AB$4,0)+1,0),"")</f>
        <v/>
      </c>
      <c r="T24" s="1409" t="s">
        <v>2267</v>
      </c>
      <c r="U24" s="1561"/>
      <c r="V24" s="1413" t="str">
        <f>IFERROR(VLOOKUP(K22,【参考】数式用!$A$5:$AB$27,MATCH(U24,【参考】数式用!$B$4:$AB$4,0)+1,0),"")</f>
        <v/>
      </c>
      <c r="W24" s="1415" t="s">
        <v>19</v>
      </c>
      <c r="X24" s="1559"/>
      <c r="Y24" s="1397" t="s">
        <v>10</v>
      </c>
      <c r="Z24" s="1559"/>
      <c r="AA24" s="1397" t="s">
        <v>45</v>
      </c>
      <c r="AB24" s="1559"/>
      <c r="AC24" s="1397" t="s">
        <v>10</v>
      </c>
      <c r="AD24" s="1559"/>
      <c r="AE24" s="1397" t="s">
        <v>2172</v>
      </c>
      <c r="AF24" s="1397" t="s">
        <v>24</v>
      </c>
      <c r="AG24" s="1397" t="str">
        <f>IF(X24&gt;=1,(AB24*12+AD24)-(X24*12+Z24)+1,"")</f>
        <v/>
      </c>
      <c r="AH24" s="1365" t="s">
        <v>38</v>
      </c>
      <c r="AI24" s="1489" t="str">
        <f>IFERROR(ROUNDDOWN(ROUND(L22*V24,0)*M22,0)*AG24,"")</f>
        <v/>
      </c>
      <c r="AJ24" s="1553" t="str">
        <f>IFERROR(ROUNDDOWN(ROUND((L22*(V24-AX22)),0)*M22,0)*AG24,"")</f>
        <v/>
      </c>
      <c r="AK24" s="1371"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IF(AND(AB22&lt;&gt;7,AD22&lt;&gt;3),"V列に色付け","")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
      </c>
      <c r="BG24" s="1335"/>
      <c r="BH24" s="1335"/>
    </row>
    <row r="25" spans="1:60" ht="30" customHeight="1" thickBot="1">
      <c r="A25" s="1316"/>
      <c r="B25" s="1439"/>
      <c r="C25" s="1440"/>
      <c r="D25" s="1440"/>
      <c r="E25" s="1440"/>
      <c r="F25" s="1441"/>
      <c r="G25" s="1269"/>
      <c r="H25" s="1269"/>
      <c r="I25" s="1269"/>
      <c r="J25" s="1444"/>
      <c r="K25" s="1269"/>
      <c r="L25" s="1455"/>
      <c r="M25" s="1464"/>
      <c r="N25" s="662" t="str">
        <f>IF('別紙様式2-2（４・５月分）'!Q22="","",'別紙様式2-2（４・５月分）'!Q22)</f>
        <v/>
      </c>
      <c r="O25" s="1422"/>
      <c r="P25" s="1402"/>
      <c r="Q25" s="1461"/>
      <c r="R25" s="1406"/>
      <c r="S25" s="1408"/>
      <c r="T25" s="1410"/>
      <c r="U25" s="1562"/>
      <c r="V25" s="1414"/>
      <c r="W25" s="1416"/>
      <c r="X25" s="1560"/>
      <c r="Y25" s="1398"/>
      <c r="Z25" s="1560"/>
      <c r="AA25" s="1398"/>
      <c r="AB25" s="1560"/>
      <c r="AC25" s="1398"/>
      <c r="AD25" s="1560"/>
      <c r="AE25" s="1398"/>
      <c r="AF25" s="1398"/>
      <c r="AG25" s="1398"/>
      <c r="AH25" s="1366"/>
      <c r="AI25" s="1490"/>
      <c r="AJ25" s="1554"/>
      <c r="AK25" s="1372"/>
      <c r="AL25" s="1556"/>
      <c r="AM25" s="1580"/>
      <c r="AN25" s="1550"/>
      <c r="AO25" s="1530"/>
      <c r="AP25" s="1552"/>
      <c r="AQ25" s="1530"/>
      <c r="AR25" s="1532"/>
      <c r="AS25" s="153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
      </c>
      <c r="BG25" s="1335"/>
      <c r="BH25" s="1335"/>
    </row>
    <row r="26" spans="1:60" ht="30" customHeight="1">
      <c r="A26" s="1325">
        <v>4</v>
      </c>
      <c r="B26" s="1301" t="str">
        <f>IF(基本情報入力シート!C57="","",基本情報入力シート!C57)</f>
        <v/>
      </c>
      <c r="C26" s="1302"/>
      <c r="D26" s="1302"/>
      <c r="E26" s="1302"/>
      <c r="F26" s="1303"/>
      <c r="G26" s="1268" t="str">
        <f>IF(基本情報入力シート!M57="","",基本情報入力シート!M57)</f>
        <v/>
      </c>
      <c r="H26" s="1268" t="str">
        <f>IF(基本情報入力シート!R57="","",基本情報入力シート!R57)</f>
        <v/>
      </c>
      <c r="I26" s="1268" t="str">
        <f>IF(基本情報入力シート!W57="","",基本情報入力シート!W57)</f>
        <v/>
      </c>
      <c r="J26" s="1443"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2193</v>
      </c>
      <c r="U26" s="1576" t="str">
        <f>IF('別紙様式2-3（６月以降分）'!U26="","",'別紙様式2-3（６月以降分）'!U26)</f>
        <v/>
      </c>
      <c r="V26" s="1435" t="str">
        <f>IFERROR(VLOOKUP(K26,【参考】数式用!$A$5:$AB$27,MATCH(U26,【参考】数式用!$B$4:$AB$4,0)+1,0),"")</f>
        <v/>
      </c>
      <c r="W26" s="1437" t="s">
        <v>19</v>
      </c>
      <c r="X26" s="1574">
        <f>'別紙様式2-3（６月以降分）'!X26</f>
        <v>6</v>
      </c>
      <c r="Y26" s="1377" t="s">
        <v>10</v>
      </c>
      <c r="Z26" s="1574">
        <f>'別紙様式2-3（６月以降分）'!Z26</f>
        <v>6</v>
      </c>
      <c r="AA26" s="1377" t="s">
        <v>45</v>
      </c>
      <c r="AB26" s="1574">
        <f>'別紙様式2-3（６月以降分）'!AB26</f>
        <v>7</v>
      </c>
      <c r="AC26" s="1377" t="s">
        <v>10</v>
      </c>
      <c r="AD26" s="1574">
        <f>'別紙様式2-3（６月以降分）'!AD26</f>
        <v>3</v>
      </c>
      <c r="AE26" s="1377" t="s">
        <v>2172</v>
      </c>
      <c r="AF26" s="1377" t="s">
        <v>24</v>
      </c>
      <c r="AG26" s="1377">
        <f>IF(X26&gt;=1,(AB26*12+AD26)-(X26*12+Z26)+1,"")</f>
        <v>10</v>
      </c>
      <c r="AH26" s="1379" t="s">
        <v>38</v>
      </c>
      <c r="AI26" s="1381" t="str">
        <f>'別紙様式2-3（６月以降分）'!AI26</f>
        <v/>
      </c>
      <c r="AJ26" s="1568" t="str">
        <f>'別紙様式2-3（６月以降分）'!AJ26</f>
        <v/>
      </c>
      <c r="AK26" s="1570">
        <f>'別紙様式2-3（６月以降分）'!AK26</f>
        <v>0</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
      </c>
      <c r="AX26" s="1337" t="str">
        <f>IF(SUM('別紙様式2-2（４・５月分）'!P23:P25)=0,"",SUM('別紙様式2-2（４・５月分）'!P23:P25))</f>
        <v/>
      </c>
      <c r="AY26" s="1528" t="str">
        <f>IFERROR(VLOOKUP(K26,【参考】数式用!$AJ$2:$AK$24,2,FALSE),"")</f>
        <v/>
      </c>
      <c r="AZ26" s="596"/>
      <c r="BE26" s="440"/>
      <c r="BF26" s="1335" t="str">
        <f>G26</f>
        <v/>
      </c>
      <c r="BG26" s="1335"/>
      <c r="BH26" s="1335"/>
    </row>
    <row r="27" spans="1:60" ht="15" customHeight="1">
      <c r="A27" s="1315"/>
      <c r="B27" s="1301"/>
      <c r="C27" s="1302"/>
      <c r="D27" s="1302"/>
      <c r="E27" s="1302"/>
      <c r="F27" s="1303"/>
      <c r="G27" s="1268"/>
      <c r="H27" s="1268"/>
      <c r="I27" s="1268"/>
      <c r="J27" s="1443"/>
      <c r="K27" s="1268"/>
      <c r="L27" s="1454"/>
      <c r="M27" s="1456"/>
      <c r="N27" s="1399" t="str">
        <f>IF('別紙様式2-2（４・５月分）'!Q24="","",'別紙様式2-2（４・５月分）'!Q24)</f>
        <v/>
      </c>
      <c r="O27" s="1420"/>
      <c r="P27" s="1426"/>
      <c r="Q27" s="1427"/>
      <c r="R27" s="1428"/>
      <c r="S27" s="1430"/>
      <c r="T27" s="1432"/>
      <c r="U27" s="1577"/>
      <c r="V27" s="1436"/>
      <c r="W27" s="1438"/>
      <c r="X27" s="1575"/>
      <c r="Y27" s="1378"/>
      <c r="Z27" s="1575"/>
      <c r="AA27" s="1378"/>
      <c r="AB27" s="1575"/>
      <c r="AC27" s="1378"/>
      <c r="AD27" s="1575"/>
      <c r="AE27" s="1378"/>
      <c r="AF27" s="1378"/>
      <c r="AG27" s="1378"/>
      <c r="AH27" s="1380"/>
      <c r="AI27" s="1382"/>
      <c r="AJ27" s="1569"/>
      <c r="AK27" s="1571"/>
      <c r="AL27" s="1573"/>
      <c r="AM27" s="1564"/>
      <c r="AN27" s="1566"/>
      <c r="AO27" s="1394"/>
      <c r="AP27" s="1567"/>
      <c r="AQ27" s="1394"/>
      <c r="AR27" s="1536"/>
      <c r="AS27" s="1539"/>
      <c r="AT27" s="1537" t="str">
        <f t="shared" ref="AT27" si="7">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
      </c>
      <c r="AX27" s="1337"/>
      <c r="AY27" s="1528"/>
      <c r="AZ27" s="533"/>
      <c r="BE27" s="440"/>
      <c r="BF27" s="1335" t="str">
        <f>G26</f>
        <v/>
      </c>
      <c r="BG27" s="1335"/>
      <c r="BH27" s="1335"/>
    </row>
    <row r="28" spans="1:60" ht="15" customHeight="1">
      <c r="A28" s="1326"/>
      <c r="B28" s="1301"/>
      <c r="C28" s="1302"/>
      <c r="D28" s="1302"/>
      <c r="E28" s="1302"/>
      <c r="F28" s="1303"/>
      <c r="G28" s="1268"/>
      <c r="H28" s="1268"/>
      <c r="I28" s="1268"/>
      <c r="J28" s="1443"/>
      <c r="K28" s="1268"/>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2267</v>
      </c>
      <c r="U28" s="1561"/>
      <c r="V28" s="1413" t="str">
        <f>IFERROR(VLOOKUP(K26,【参考】数式用!$A$5:$AB$27,MATCH(U28,【参考】数式用!$B$4:$AB$4,0)+1,0),"")</f>
        <v/>
      </c>
      <c r="W28" s="1415" t="s">
        <v>19</v>
      </c>
      <c r="X28" s="1559"/>
      <c r="Y28" s="1397" t="s">
        <v>10</v>
      </c>
      <c r="Z28" s="1559"/>
      <c r="AA28" s="1397" t="s">
        <v>45</v>
      </c>
      <c r="AB28" s="1559"/>
      <c r="AC28" s="1397" t="s">
        <v>10</v>
      </c>
      <c r="AD28" s="1559"/>
      <c r="AE28" s="1397" t="s">
        <v>2172</v>
      </c>
      <c r="AF28" s="1397" t="s">
        <v>24</v>
      </c>
      <c r="AG28" s="1397" t="str">
        <f>IF(X28&gt;=1,(AB28*12+AD28)-(X28*12+Z28)+1,"")</f>
        <v/>
      </c>
      <c r="AH28" s="1365" t="s">
        <v>38</v>
      </c>
      <c r="AI28" s="1489" t="str">
        <f>IFERROR(ROUNDDOWN(ROUND(L26*V28,0)*M26,0)*AG28,"")</f>
        <v/>
      </c>
      <c r="AJ28" s="1553" t="str">
        <f>IFERROR(ROUNDDOWN(ROUND((L26*(V28-AX26)),0)*M26,0)*AG28,"")</f>
        <v/>
      </c>
      <c r="AK28" s="1371" t="str">
        <f>IFERROR(ROUNDDOWN(ROUNDDOWN(ROUND(L26*VLOOKUP(K26,【参考】数式用!$A$5:$AB$27,MATCH("新加算Ⅳ",【参考】数式用!$B$4:$AB$4,0)+1,0),0)*M26,0)*AG28*0.5,0),"")</f>
        <v/>
      </c>
      <c r="AL28" s="1555"/>
      <c r="AM28" s="1579" t="str">
        <f>IFERROR(IF('別紙様式2-2（４・５月分）'!Q25="ベア加算","", IF(OR(U28="新加算Ⅰ",U28="新加算Ⅱ",U28="新加算Ⅲ",U28="新加算Ⅳ"),ROUNDDOWN(ROUND(L26*VLOOKUP(K26,【参考】数式用!$A$5:$I$27,MATCH("ベア加算",【参考】数式用!$B$4:$I$4,0)+1,0),0)*M26,0)*AG28,"")),"")</f>
        <v/>
      </c>
      <c r="AN28" s="1549"/>
      <c r="AO28" s="1529"/>
      <c r="AP28" s="1551"/>
      <c r="AQ28" s="1529"/>
      <c r="AR28" s="1531"/>
      <c r="AS28" s="1533"/>
      <c r="AT28" s="1537"/>
      <c r="AU28" s="554"/>
      <c r="AV28" s="1335" t="str">
        <f>IF(AND(AB26&lt;&gt;7,AD26&lt;&gt;3),"V列に色付け","")</f>
        <v/>
      </c>
      <c r="AW28" s="1336"/>
      <c r="AX28" s="1337"/>
      <c r="AY28" s="683"/>
      <c r="AZ28" s="1247" t="str">
        <f>IF(AM28&lt;&gt;"",IF(AN28="○","入力済","未入力"),"")</f>
        <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
      </c>
      <c r="BG28" s="1335"/>
      <c r="BH28" s="1335"/>
    </row>
    <row r="29" spans="1:60" ht="30" customHeight="1" thickBot="1">
      <c r="A29" s="1316"/>
      <c r="B29" s="1439"/>
      <c r="C29" s="1440"/>
      <c r="D29" s="1440"/>
      <c r="E29" s="1440"/>
      <c r="F29" s="1441"/>
      <c r="G29" s="1269"/>
      <c r="H29" s="1269"/>
      <c r="I29" s="1269"/>
      <c r="J29" s="1444"/>
      <c r="K29" s="1269"/>
      <c r="L29" s="1455"/>
      <c r="M29" s="1457"/>
      <c r="N29" s="662" t="str">
        <f>IF('別紙様式2-2（４・５月分）'!Q25="","",'別紙様式2-2（４・５月分）'!Q25)</f>
        <v/>
      </c>
      <c r="O29" s="1422"/>
      <c r="P29" s="1402"/>
      <c r="Q29" s="1461"/>
      <c r="R29" s="1406"/>
      <c r="S29" s="1408"/>
      <c r="T29" s="1410"/>
      <c r="U29" s="1562"/>
      <c r="V29" s="1414"/>
      <c r="W29" s="1416"/>
      <c r="X29" s="1560"/>
      <c r="Y29" s="1398"/>
      <c r="Z29" s="1560"/>
      <c r="AA29" s="1398"/>
      <c r="AB29" s="1560"/>
      <c r="AC29" s="1398"/>
      <c r="AD29" s="1560"/>
      <c r="AE29" s="1398"/>
      <c r="AF29" s="1398"/>
      <c r="AG29" s="1398"/>
      <c r="AH29" s="1366"/>
      <c r="AI29" s="1490"/>
      <c r="AJ29" s="1554"/>
      <c r="AK29" s="1372"/>
      <c r="AL29" s="1556"/>
      <c r="AM29" s="1580"/>
      <c r="AN29" s="1550"/>
      <c r="AO29" s="1530"/>
      <c r="AP29" s="1552"/>
      <c r="AQ29" s="1530"/>
      <c r="AR29" s="1532"/>
      <c r="AS29" s="153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
      </c>
      <c r="BG29" s="1335"/>
      <c r="BH29" s="1335"/>
    </row>
    <row r="30" spans="1:60" ht="30" customHeight="1">
      <c r="A30" s="1314">
        <v>5</v>
      </c>
      <c r="B30" s="1298" t="str">
        <f>IF(基本情報入力シート!C58="","",基本情報入力シート!C58)</f>
        <v/>
      </c>
      <c r="C30" s="1299"/>
      <c r="D30" s="1299"/>
      <c r="E30" s="1299"/>
      <c r="F30" s="1300"/>
      <c r="G30" s="1267" t="str">
        <f>IF(基本情報入力シート!M58="","",基本情報入力シート!M58)</f>
        <v/>
      </c>
      <c r="H30" s="1267" t="str">
        <f>IF(基本情報入力シート!R58="","",基本情報入力シート!R58)</f>
        <v/>
      </c>
      <c r="I30" s="1267" t="str">
        <f>IF(基本情報入力シート!W58="","",基本情報入力シート!W58)</f>
        <v/>
      </c>
      <c r="J30" s="1442" t="str">
        <f>IF(基本情報入力シート!X58="","",基本情報入力シート!X58)</f>
        <v/>
      </c>
      <c r="K30" s="1267" t="str">
        <f>IF(基本情報入力シート!Y58="","",基本情報入力シート!Y58)</f>
        <v/>
      </c>
      <c r="L30" s="1465" t="str">
        <f>IF(基本情報入力シート!AB58="","",基本情報入力シート!AB58)</f>
        <v/>
      </c>
      <c r="M30" s="1462" t="str">
        <f>IF(基本情報入力シート!AC58="","",基本情報入力シート!AC58)</f>
        <v/>
      </c>
      <c r="N30" s="659"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2193</v>
      </c>
      <c r="U30" s="1576" t="str">
        <f>IF('別紙様式2-3（６月以降分）'!U30="","",'別紙様式2-3（６月以降分）'!U30)</f>
        <v/>
      </c>
      <c r="V30" s="1435" t="str">
        <f>IFERROR(VLOOKUP(K30,【参考】数式用!$A$5:$AB$27,MATCH(U30,【参考】数式用!$B$4:$AB$4,0)+1,0),"")</f>
        <v/>
      </c>
      <c r="W30" s="1437" t="s">
        <v>19</v>
      </c>
      <c r="X30" s="1574">
        <f>'別紙様式2-3（６月以降分）'!X30</f>
        <v>6</v>
      </c>
      <c r="Y30" s="1377" t="s">
        <v>10</v>
      </c>
      <c r="Z30" s="1574">
        <f>'別紙様式2-3（６月以降分）'!Z30</f>
        <v>6</v>
      </c>
      <c r="AA30" s="1377" t="s">
        <v>45</v>
      </c>
      <c r="AB30" s="1574">
        <f>'別紙様式2-3（６月以降分）'!AB30</f>
        <v>7</v>
      </c>
      <c r="AC30" s="1377" t="s">
        <v>10</v>
      </c>
      <c r="AD30" s="1574">
        <f>'別紙様式2-3（６月以降分）'!AD30</f>
        <v>3</v>
      </c>
      <c r="AE30" s="1377" t="s">
        <v>2172</v>
      </c>
      <c r="AF30" s="1377" t="s">
        <v>24</v>
      </c>
      <c r="AG30" s="1377">
        <f>IF(X30&gt;=1,(AB30*12+AD30)-(X30*12+Z30)+1,"")</f>
        <v>10</v>
      </c>
      <c r="AH30" s="1379" t="s">
        <v>38</v>
      </c>
      <c r="AI30" s="1381"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
      </c>
      <c r="AX30" s="1337" t="str">
        <f>IF(SUM('別紙様式2-2（４・５月分）'!P26:P28)=0,"",SUM('別紙様式2-2（４・５月分）'!P26:P28))</f>
        <v/>
      </c>
      <c r="AY30" s="1548" t="str">
        <f>IFERROR(VLOOKUP(K30,【参考】数式用!$AJ$2:$AK$24,2,FALSE),"")</f>
        <v/>
      </c>
      <c r="AZ30" s="596"/>
      <c r="BE30" s="440"/>
      <c r="BF30" s="1335" t="str">
        <f>G30</f>
        <v/>
      </c>
      <c r="BG30" s="1335"/>
      <c r="BH30" s="1335"/>
    </row>
    <row r="31" spans="1:60" ht="15" customHeight="1">
      <c r="A31" s="1315"/>
      <c r="B31" s="1301"/>
      <c r="C31" s="1302"/>
      <c r="D31" s="1302"/>
      <c r="E31" s="1302"/>
      <c r="F31" s="1303"/>
      <c r="G31" s="1268"/>
      <c r="H31" s="1268"/>
      <c r="I31" s="1268"/>
      <c r="J31" s="1443"/>
      <c r="K31" s="1268"/>
      <c r="L31" s="1454"/>
      <c r="M31" s="1463"/>
      <c r="N31" s="1399" t="str">
        <f>IF('別紙様式2-2（４・５月分）'!Q27="","",'別紙様式2-2（４・５月分）'!Q27)</f>
        <v/>
      </c>
      <c r="O31" s="1420"/>
      <c r="P31" s="1426"/>
      <c r="Q31" s="1427"/>
      <c r="R31" s="1428"/>
      <c r="S31" s="1430"/>
      <c r="T31" s="1432"/>
      <c r="U31" s="1577"/>
      <c r="V31" s="1436"/>
      <c r="W31" s="1438"/>
      <c r="X31" s="1575"/>
      <c r="Y31" s="1378"/>
      <c r="Z31" s="1575"/>
      <c r="AA31" s="1378"/>
      <c r="AB31" s="1575"/>
      <c r="AC31" s="1378"/>
      <c r="AD31" s="1575"/>
      <c r="AE31" s="1378"/>
      <c r="AF31" s="1378"/>
      <c r="AG31" s="1378"/>
      <c r="AH31" s="1380"/>
      <c r="AI31" s="1382"/>
      <c r="AJ31" s="1569"/>
      <c r="AK31" s="1571"/>
      <c r="AL31" s="1573"/>
      <c r="AM31" s="1564"/>
      <c r="AN31" s="1566"/>
      <c r="AO31" s="1394"/>
      <c r="AP31" s="1567"/>
      <c r="AQ31" s="1394"/>
      <c r="AR31" s="1536"/>
      <c r="AS31" s="1539"/>
      <c r="AT31" s="1537" t="str">
        <f t="shared" ref="AT31" si="10">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
      </c>
      <c r="BG31" s="1335"/>
      <c r="BH31" s="1335"/>
    </row>
    <row r="32" spans="1:60" ht="15" customHeight="1">
      <c r="A32" s="1326"/>
      <c r="B32" s="1301"/>
      <c r="C32" s="1302"/>
      <c r="D32" s="1302"/>
      <c r="E32" s="1302"/>
      <c r="F32" s="1303"/>
      <c r="G32" s="1268"/>
      <c r="H32" s="1268"/>
      <c r="I32" s="1268"/>
      <c r="J32" s="1443"/>
      <c r="K32" s="1268"/>
      <c r="L32" s="1454"/>
      <c r="M32" s="1463"/>
      <c r="N32" s="1400"/>
      <c r="O32" s="1421"/>
      <c r="P32" s="1401" t="s">
        <v>2269</v>
      </c>
      <c r="Q32" s="1460" t="str">
        <f>IFERROR(VLOOKUP('別紙様式2-2（４・５月分）'!AR26,【参考】数式用!$AT$5:$AV$22,3,FALSE),"")</f>
        <v/>
      </c>
      <c r="R32" s="1405" t="s">
        <v>2190</v>
      </c>
      <c r="S32" s="1407" t="str">
        <f>IFERROR(VLOOKUP(K30,【参考】数式用!$A$5:$AB$27,MATCH(Q32,【参考】数式用!$B$4:$AB$4,0)+1,0),"")</f>
        <v/>
      </c>
      <c r="T32" s="1409" t="s">
        <v>2267</v>
      </c>
      <c r="U32" s="1561"/>
      <c r="V32" s="1413" t="str">
        <f>IFERROR(VLOOKUP(K30,【参考】数式用!$A$5:$AB$27,MATCH(U32,【参考】数式用!$B$4:$AB$4,0)+1,0),"")</f>
        <v/>
      </c>
      <c r="W32" s="1415" t="s">
        <v>19</v>
      </c>
      <c r="X32" s="1559"/>
      <c r="Y32" s="1397" t="s">
        <v>10</v>
      </c>
      <c r="Z32" s="1559"/>
      <c r="AA32" s="1397" t="s">
        <v>45</v>
      </c>
      <c r="AB32" s="1559"/>
      <c r="AC32" s="1397" t="s">
        <v>10</v>
      </c>
      <c r="AD32" s="1559"/>
      <c r="AE32" s="1397" t="s">
        <v>2172</v>
      </c>
      <c r="AF32" s="1397" t="s">
        <v>24</v>
      </c>
      <c r="AG32" s="1397" t="str">
        <f>IF(X32&gt;=1,(AB32*12+AD32)-(X32*12+Z32)+1,"")</f>
        <v/>
      </c>
      <c r="AH32" s="1365" t="s">
        <v>38</v>
      </c>
      <c r="AI32" s="1489" t="str">
        <f t="shared" ref="AI32" si="11">IFERROR(ROUNDDOWN(ROUND(L30*V32,0)*M30,0)*AG32,"")</f>
        <v/>
      </c>
      <c r="AJ32" s="1553" t="str">
        <f>IFERROR(ROUNDDOWN(ROUND((L30*(V32-AX30)),0)*M30,0)*AG32,"")</f>
        <v/>
      </c>
      <c r="AK32" s="1371"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IF(AND(AB30&lt;&gt;7,AD30&lt;&gt;3),"V列に色付け","")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
      </c>
      <c r="BG32" s="1335"/>
      <c r="BH32" s="1335"/>
    </row>
    <row r="33" spans="1:60" ht="30" customHeight="1" thickBot="1">
      <c r="A33" s="1316"/>
      <c r="B33" s="1439"/>
      <c r="C33" s="1440"/>
      <c r="D33" s="1440"/>
      <c r="E33" s="1440"/>
      <c r="F33" s="1441"/>
      <c r="G33" s="1269"/>
      <c r="H33" s="1269"/>
      <c r="I33" s="1269"/>
      <c r="J33" s="1444"/>
      <c r="K33" s="1269"/>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66"/>
      <c r="AI33" s="1490"/>
      <c r="AJ33" s="1554"/>
      <c r="AK33" s="1372"/>
      <c r="AL33" s="1556"/>
      <c r="AM33" s="1558"/>
      <c r="AN33" s="1550"/>
      <c r="AO33" s="1530"/>
      <c r="AP33" s="1552"/>
      <c r="AQ33" s="1530"/>
      <c r="AR33" s="1532"/>
      <c r="AS33" s="153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
      </c>
      <c r="BG33" s="1335"/>
      <c r="BH33" s="1335"/>
    </row>
    <row r="34" spans="1:60" ht="30" customHeight="1">
      <c r="A34" s="1325">
        <v>6</v>
      </c>
      <c r="B34" s="1301" t="str">
        <f>IF(基本情報入力シート!C59="","",基本情報入力シート!C59)</f>
        <v/>
      </c>
      <c r="C34" s="1302"/>
      <c r="D34" s="1302"/>
      <c r="E34" s="1302"/>
      <c r="F34" s="1303"/>
      <c r="G34" s="1268" t="str">
        <f>IF(基本情報入力シート!M59="","",基本情報入力シート!M59)</f>
        <v/>
      </c>
      <c r="H34" s="1268" t="str">
        <f>IF(基本情報入力シート!R59="","",基本情報入力シート!R59)</f>
        <v/>
      </c>
      <c r="I34" s="1268" t="str">
        <f>IF(基本情報入力シート!W59="","",基本情報入力シート!W59)</f>
        <v/>
      </c>
      <c r="J34" s="1443" t="str">
        <f>IF(基本情報入力シート!X59="","",基本情報入力シート!X59)</f>
        <v/>
      </c>
      <c r="K34" s="1268" t="str">
        <f>IF(基本情報入力シート!Y59="","",基本情報入力シート!Y59)</f>
        <v/>
      </c>
      <c r="L34" s="1454" t="str">
        <f>IF(基本情報入力シート!AB59="","",基本情報入力シート!AB59)</f>
        <v/>
      </c>
      <c r="M34" s="1456" t="str">
        <f>IF(基本情報入力シート!AC59="","",基本情報入力シート!AC59)</f>
        <v/>
      </c>
      <c r="N34" s="659"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2193</v>
      </c>
      <c r="U34" s="1576" t="str">
        <f>IF('別紙様式2-3（６月以降分）'!U34="","",'別紙様式2-3（６月以降分）'!U34)</f>
        <v/>
      </c>
      <c r="V34" s="1435" t="str">
        <f>IFERROR(VLOOKUP(K34,【参考】数式用!$A$5:$AB$27,MATCH(U34,【参考】数式用!$B$4:$AB$4,0)+1,0),"")</f>
        <v/>
      </c>
      <c r="W34" s="1437" t="s">
        <v>19</v>
      </c>
      <c r="X34" s="1574">
        <f>'別紙様式2-3（６月以降分）'!X34</f>
        <v>6</v>
      </c>
      <c r="Y34" s="1377" t="s">
        <v>10</v>
      </c>
      <c r="Z34" s="1574">
        <f>'別紙様式2-3（６月以降分）'!Z34</f>
        <v>6</v>
      </c>
      <c r="AA34" s="1377" t="s">
        <v>45</v>
      </c>
      <c r="AB34" s="1574">
        <f>'別紙様式2-3（６月以降分）'!AB34</f>
        <v>7</v>
      </c>
      <c r="AC34" s="1377" t="s">
        <v>10</v>
      </c>
      <c r="AD34" s="1574">
        <f>'別紙様式2-3（６月以降分）'!AD34</f>
        <v>3</v>
      </c>
      <c r="AE34" s="1377" t="s">
        <v>2172</v>
      </c>
      <c r="AF34" s="1377" t="s">
        <v>24</v>
      </c>
      <c r="AG34" s="1377">
        <f>IF(X34&gt;=1,(AB34*12+AD34)-(X34*12+Z34)+1,"")</f>
        <v>10</v>
      </c>
      <c r="AH34" s="1379" t="s">
        <v>38</v>
      </c>
      <c r="AI34" s="1381" t="str">
        <f>'別紙様式2-3（６月以降分）'!AI34</f>
        <v/>
      </c>
      <c r="AJ34" s="1568" t="str">
        <f>'別紙様式2-3（６月以降分）'!AJ34</f>
        <v/>
      </c>
      <c r="AK34" s="1570">
        <f>'別紙様式2-3（６月以降分）'!AK34</f>
        <v>0</v>
      </c>
      <c r="AL34" s="1572" t="str">
        <f>IF('別紙様式2-3（６月以降分）'!AL34="","",'別紙様式2-3（６月以降分）'!AL34)</f>
        <v/>
      </c>
      <c r="AM34" s="1563">
        <f>'別紙様式2-3（６月以降分）'!AM34</f>
        <v>0</v>
      </c>
      <c r="AN34" s="1565" t="str">
        <f>IF('別紙様式2-3（６月以降分）'!AN34="","",'別紙様式2-3（６月以降分）'!AN34)</f>
        <v/>
      </c>
      <c r="AO34" s="1393" t="str">
        <f>IF('別紙様式2-3（６月以降分）'!AO34="","",'別紙様式2-3（６月以降分）'!AO34)</f>
        <v/>
      </c>
      <c r="AP34" s="1359" t="str">
        <f>IF('別紙様式2-3（６月以降分）'!AP34="","",'別紙様式2-3（６月以降分）'!AP34)</f>
        <v/>
      </c>
      <c r="AQ34" s="1393" t="str">
        <f>IF('別紙様式2-3（６月以降分）'!AQ34="","",'別紙様式2-3（６月以降分）'!AQ34)</f>
        <v/>
      </c>
      <c r="AR34" s="1535" t="str">
        <f>IF('別紙様式2-3（６月以降分）'!AR34="","",'別紙様式2-3（６月以降分）'!AR34)</f>
        <v/>
      </c>
      <c r="AS34" s="1538"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
      </c>
      <c r="AX34" s="1337" t="str">
        <f>IF(SUM('別紙様式2-2（４・５月分）'!P29:P31)=0,"",SUM('別紙様式2-2（４・５月分）'!P29:P31))</f>
        <v/>
      </c>
      <c r="AY34" s="1528" t="str">
        <f>IFERROR(VLOOKUP(K34,【参考】数式用!$AJ$2:$AK$24,2,FALSE),"")</f>
        <v/>
      </c>
      <c r="AZ34" s="596"/>
      <c r="BE34" s="440"/>
      <c r="BF34" s="1335" t="str">
        <f>G34</f>
        <v/>
      </c>
      <c r="BG34" s="1335"/>
      <c r="BH34" s="1335"/>
    </row>
    <row r="35" spans="1:60" ht="15" customHeight="1">
      <c r="A35" s="1315"/>
      <c r="B35" s="1301"/>
      <c r="C35" s="1302"/>
      <c r="D35" s="1302"/>
      <c r="E35" s="1302"/>
      <c r="F35" s="1303"/>
      <c r="G35" s="1268"/>
      <c r="H35" s="1268"/>
      <c r="I35" s="1268"/>
      <c r="J35" s="1443"/>
      <c r="K35" s="1268"/>
      <c r="L35" s="1454"/>
      <c r="M35" s="1456"/>
      <c r="N35" s="1399" t="str">
        <f>IF('別紙様式2-2（４・５月分）'!Q30="","",'別紙様式2-2（４・５月分）'!Q30)</f>
        <v/>
      </c>
      <c r="O35" s="1420"/>
      <c r="P35" s="1426"/>
      <c r="Q35" s="1427"/>
      <c r="R35" s="1428"/>
      <c r="S35" s="1430"/>
      <c r="T35" s="1432"/>
      <c r="U35" s="1577"/>
      <c r="V35" s="1436"/>
      <c r="W35" s="1438"/>
      <c r="X35" s="1575"/>
      <c r="Y35" s="1378"/>
      <c r="Z35" s="1575"/>
      <c r="AA35" s="1378"/>
      <c r="AB35" s="1575"/>
      <c r="AC35" s="1378"/>
      <c r="AD35" s="1575"/>
      <c r="AE35" s="1378"/>
      <c r="AF35" s="1378"/>
      <c r="AG35" s="1378"/>
      <c r="AH35" s="1380"/>
      <c r="AI35" s="1382"/>
      <c r="AJ35" s="1569"/>
      <c r="AK35" s="1571"/>
      <c r="AL35" s="1573"/>
      <c r="AM35" s="1564"/>
      <c r="AN35" s="1566"/>
      <c r="AO35" s="1394"/>
      <c r="AP35" s="1567"/>
      <c r="AQ35" s="1394"/>
      <c r="AR35" s="1536"/>
      <c r="AS35" s="1539"/>
      <c r="AT35" s="1537" t="str">
        <f t="shared" ref="AT35" si="14">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
      </c>
      <c r="AX35" s="1337"/>
      <c r="AY35" s="1528"/>
      <c r="AZ35" s="533"/>
      <c r="BE35" s="440"/>
      <c r="BF35" s="1335" t="str">
        <f>G34</f>
        <v/>
      </c>
      <c r="BG35" s="1335"/>
      <c r="BH35" s="1335"/>
    </row>
    <row r="36" spans="1:60" ht="15" customHeight="1">
      <c r="A36" s="1326"/>
      <c r="B36" s="1301"/>
      <c r="C36" s="1302"/>
      <c r="D36" s="1302"/>
      <c r="E36" s="1302"/>
      <c r="F36" s="1303"/>
      <c r="G36" s="1268"/>
      <c r="H36" s="1268"/>
      <c r="I36" s="1268"/>
      <c r="J36" s="1443"/>
      <c r="K36" s="1268"/>
      <c r="L36" s="1454"/>
      <c r="M36" s="1456"/>
      <c r="N36" s="1400"/>
      <c r="O36" s="1421"/>
      <c r="P36" s="1401" t="s">
        <v>2179</v>
      </c>
      <c r="Q36" s="1460" t="str">
        <f>IFERROR(VLOOKUP('別紙様式2-2（４・５月分）'!AR29,【参考】数式用!$AT$5:$AV$22,3,FALSE),"")</f>
        <v/>
      </c>
      <c r="R36" s="1405" t="s">
        <v>2190</v>
      </c>
      <c r="S36" s="1447" t="str">
        <f>IFERROR(VLOOKUP(K34,【参考】数式用!$A$5:$AB$27,MATCH(Q36,【参考】数式用!$B$4:$AB$4,0)+1,0),"")</f>
        <v/>
      </c>
      <c r="T36" s="1409" t="s">
        <v>2267</v>
      </c>
      <c r="U36" s="1561"/>
      <c r="V36" s="1413" t="str">
        <f>IFERROR(VLOOKUP(K34,【参考】数式用!$A$5:$AB$27,MATCH(U36,【参考】数式用!$B$4:$AB$4,0)+1,0),"")</f>
        <v/>
      </c>
      <c r="W36" s="1415" t="s">
        <v>19</v>
      </c>
      <c r="X36" s="1559"/>
      <c r="Y36" s="1397" t="s">
        <v>10</v>
      </c>
      <c r="Z36" s="1559"/>
      <c r="AA36" s="1397" t="s">
        <v>45</v>
      </c>
      <c r="AB36" s="1559"/>
      <c r="AC36" s="1397" t="s">
        <v>10</v>
      </c>
      <c r="AD36" s="1559"/>
      <c r="AE36" s="1397" t="s">
        <v>2172</v>
      </c>
      <c r="AF36" s="1397" t="s">
        <v>24</v>
      </c>
      <c r="AG36" s="1397" t="str">
        <f>IF(X36&gt;=1,(AB36*12+AD36)-(X36*12+Z36)+1,"")</f>
        <v/>
      </c>
      <c r="AH36" s="1365" t="s">
        <v>38</v>
      </c>
      <c r="AI36" s="1489" t="str">
        <f t="shared" ref="AI36" si="15">IFERROR(ROUNDDOWN(ROUND(L34*V36,0)*M34,0)*AG36,"")</f>
        <v/>
      </c>
      <c r="AJ36" s="1553" t="str">
        <f>IFERROR(ROUNDDOWN(ROUND((L34*(V36-AX34)),0)*M34,0)*AG36,"")</f>
        <v/>
      </c>
      <c r="AK36" s="1371"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IF(AND(AB34&lt;&gt;7,AD34&lt;&gt;3),"V列に色付け","")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
      </c>
      <c r="BG36" s="1335"/>
      <c r="BH36" s="1335"/>
    </row>
    <row r="37" spans="1:60" ht="30" customHeight="1" thickBot="1">
      <c r="A37" s="1316"/>
      <c r="B37" s="1439"/>
      <c r="C37" s="1509"/>
      <c r="D37" s="1440"/>
      <c r="E37" s="1440"/>
      <c r="F37" s="1441"/>
      <c r="G37" s="1269"/>
      <c r="H37" s="1269"/>
      <c r="I37" s="1269"/>
      <c r="J37" s="1444"/>
      <c r="K37" s="1269"/>
      <c r="L37" s="1455"/>
      <c r="M37" s="1457"/>
      <c r="N37" s="662" t="str">
        <f>IF('別紙様式2-2（４・５月分）'!Q31="","",'別紙様式2-2（４・５月分）'!Q31)</f>
        <v/>
      </c>
      <c r="O37" s="1422"/>
      <c r="P37" s="1402"/>
      <c r="Q37" s="1461"/>
      <c r="R37" s="1406"/>
      <c r="S37" s="1408"/>
      <c r="T37" s="1410"/>
      <c r="U37" s="1562"/>
      <c r="V37" s="1414"/>
      <c r="W37" s="1416"/>
      <c r="X37" s="1560"/>
      <c r="Y37" s="1398"/>
      <c r="Z37" s="1560"/>
      <c r="AA37" s="1398"/>
      <c r="AB37" s="1560"/>
      <c r="AC37" s="1398"/>
      <c r="AD37" s="1560"/>
      <c r="AE37" s="1398"/>
      <c r="AF37" s="1398"/>
      <c r="AG37" s="1398"/>
      <c r="AH37" s="1366"/>
      <c r="AI37" s="1490"/>
      <c r="AJ37" s="1554"/>
      <c r="AK37" s="1372"/>
      <c r="AL37" s="1556"/>
      <c r="AM37" s="1558"/>
      <c r="AN37" s="1550"/>
      <c r="AO37" s="1530"/>
      <c r="AP37" s="1552"/>
      <c r="AQ37" s="1530"/>
      <c r="AR37" s="1532"/>
      <c r="AS37" s="153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
      </c>
      <c r="BG37" s="1335"/>
      <c r="BH37" s="1335"/>
    </row>
    <row r="38" spans="1:60" ht="30" customHeight="1">
      <c r="A38" s="1314">
        <v>7</v>
      </c>
      <c r="B38" s="1298" t="str">
        <f>IF(基本情報入力シート!C60="","",基本情報入力シート!C60)</f>
        <v/>
      </c>
      <c r="C38" s="1299"/>
      <c r="D38" s="1299"/>
      <c r="E38" s="1299"/>
      <c r="F38" s="1300"/>
      <c r="G38" s="1267" t="str">
        <f>IF(基本情報入力シート!M60="","",基本情報入力シート!M60)</f>
        <v/>
      </c>
      <c r="H38" s="1267" t="str">
        <f>IF(基本情報入力シート!R60="","",基本情報入力シート!R60)</f>
        <v/>
      </c>
      <c r="I38" s="1267" t="str">
        <f>IF(基本情報入力シート!W60="","",基本情報入力シート!W60)</f>
        <v/>
      </c>
      <c r="J38" s="1442" t="str">
        <f>IF(基本情報入力シート!X60="","",基本情報入力シート!X60)</f>
        <v/>
      </c>
      <c r="K38" s="1267" t="str">
        <f>IF(基本情報入力シート!Y60="","",基本情報入力シート!Y60)</f>
        <v/>
      </c>
      <c r="L38" s="1465" t="str">
        <f>IF(基本情報入力シート!AB60="","",基本情報入力シート!AB60)</f>
        <v/>
      </c>
      <c r="M38" s="1462" t="str">
        <f>IF(基本情報入力シート!AC60="","",基本情報入力シート!AC60)</f>
        <v/>
      </c>
      <c r="N38" s="659"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2193</v>
      </c>
      <c r="U38" s="1576" t="str">
        <f>IF('別紙様式2-3（６月以降分）'!U38="","",'別紙様式2-3（６月以降分）'!U38)</f>
        <v/>
      </c>
      <c r="V38" s="1435" t="str">
        <f>IFERROR(VLOOKUP(K38,【参考】数式用!$A$5:$AB$27,MATCH(U38,【参考】数式用!$B$4:$AB$4,0)+1,0),"")</f>
        <v/>
      </c>
      <c r="W38" s="1437" t="s">
        <v>19</v>
      </c>
      <c r="X38" s="1574">
        <f>'別紙様式2-3（６月以降分）'!X38</f>
        <v>6</v>
      </c>
      <c r="Y38" s="1377" t="s">
        <v>10</v>
      </c>
      <c r="Z38" s="1574">
        <f>'別紙様式2-3（６月以降分）'!Z38</f>
        <v>6</v>
      </c>
      <c r="AA38" s="1377" t="s">
        <v>45</v>
      </c>
      <c r="AB38" s="1574">
        <f>'別紙様式2-3（６月以降分）'!AB38</f>
        <v>7</v>
      </c>
      <c r="AC38" s="1377" t="s">
        <v>10</v>
      </c>
      <c r="AD38" s="1574">
        <f>'別紙様式2-3（６月以降分）'!AD38</f>
        <v>3</v>
      </c>
      <c r="AE38" s="1377" t="s">
        <v>2172</v>
      </c>
      <c r="AF38" s="1377" t="s">
        <v>24</v>
      </c>
      <c r="AG38" s="1377">
        <f>IF(X38&gt;=1,(AB38*12+AD38)-(X38*12+Z38)+1,"")</f>
        <v>10</v>
      </c>
      <c r="AH38" s="1379" t="s">
        <v>38</v>
      </c>
      <c r="AI38" s="1381" t="str">
        <f>'別紙様式2-3（６月以降分）'!AI38</f>
        <v/>
      </c>
      <c r="AJ38" s="1568" t="str">
        <f>'別紙様式2-3（６月以降分）'!AJ38</f>
        <v/>
      </c>
      <c r="AK38" s="1570">
        <f>'別紙様式2-3（６月以降分）'!AK38</f>
        <v>0</v>
      </c>
      <c r="AL38" s="1572" t="str">
        <f>IF('別紙様式2-3（６月以降分）'!AL38="","",'別紙様式2-3（６月以降分）'!AL38)</f>
        <v/>
      </c>
      <c r="AM38" s="1563">
        <f>'別紙様式2-3（６月以降分）'!AM38</f>
        <v>0</v>
      </c>
      <c r="AN38" s="1565" t="str">
        <f>IF('別紙様式2-3（６月以降分）'!AN38="","",'別紙様式2-3（６月以降分）'!AN38)</f>
        <v/>
      </c>
      <c r="AO38" s="1393" t="str">
        <f>IF('別紙様式2-3（６月以降分）'!AO38="","",'別紙様式2-3（６月以降分）'!AO38)</f>
        <v/>
      </c>
      <c r="AP38" s="1359" t="str">
        <f>IF('別紙様式2-3（６月以降分）'!AP38="","",'別紙様式2-3（６月以降分）'!AP38)</f>
        <v/>
      </c>
      <c r="AQ38" s="1393" t="str">
        <f>IF('別紙様式2-3（６月以降分）'!AQ38="","",'別紙様式2-3（６月以降分）'!AQ38)</f>
        <v/>
      </c>
      <c r="AR38" s="1535" t="str">
        <f>IF('別紙様式2-3（６月以降分）'!AR38="","",'別紙様式2-3（６月以降分）'!AR38)</f>
        <v/>
      </c>
      <c r="AS38" s="1538"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
      </c>
      <c r="AX38" s="1337" t="str">
        <f>IF(SUM('別紙様式2-2（４・５月分）'!P32:P34)=0,"",SUM('別紙様式2-2（４・５月分）'!P32:P34))</f>
        <v/>
      </c>
      <c r="AY38" s="1548" t="str">
        <f>IFERROR(VLOOKUP(K38,【参考】数式用!$AJ$2:$AK$24,2,FALSE),"")</f>
        <v/>
      </c>
      <c r="AZ38" s="596"/>
      <c r="BE38" s="440"/>
      <c r="BF38" s="1335" t="str">
        <f>G38</f>
        <v/>
      </c>
      <c r="BG38" s="1335"/>
      <c r="BH38" s="1335"/>
    </row>
    <row r="39" spans="1:60" ht="15" customHeight="1">
      <c r="A39" s="1315"/>
      <c r="B39" s="1301"/>
      <c r="C39" s="1302"/>
      <c r="D39" s="1302"/>
      <c r="E39" s="1302"/>
      <c r="F39" s="1303"/>
      <c r="G39" s="1268"/>
      <c r="H39" s="1268"/>
      <c r="I39" s="1268"/>
      <c r="J39" s="1443"/>
      <c r="K39" s="1268"/>
      <c r="L39" s="1454"/>
      <c r="M39" s="1463"/>
      <c r="N39" s="1399" t="str">
        <f>IF('別紙様式2-2（４・５月分）'!Q33="","",'別紙様式2-2（４・５月分）'!Q33)</f>
        <v/>
      </c>
      <c r="O39" s="1420"/>
      <c r="P39" s="1426"/>
      <c r="Q39" s="1427"/>
      <c r="R39" s="1428"/>
      <c r="S39" s="1430"/>
      <c r="T39" s="1432"/>
      <c r="U39" s="1577"/>
      <c r="V39" s="1436"/>
      <c r="W39" s="1438"/>
      <c r="X39" s="1575"/>
      <c r="Y39" s="1378"/>
      <c r="Z39" s="1575"/>
      <c r="AA39" s="1378"/>
      <c r="AB39" s="1575"/>
      <c r="AC39" s="1378"/>
      <c r="AD39" s="1575"/>
      <c r="AE39" s="1378"/>
      <c r="AF39" s="1378"/>
      <c r="AG39" s="1378"/>
      <c r="AH39" s="1380"/>
      <c r="AI39" s="1382"/>
      <c r="AJ39" s="1569"/>
      <c r="AK39" s="1571"/>
      <c r="AL39" s="1573"/>
      <c r="AM39" s="1564"/>
      <c r="AN39" s="1566"/>
      <c r="AO39" s="1394"/>
      <c r="AP39" s="1567"/>
      <c r="AQ39" s="1394"/>
      <c r="AR39" s="1536"/>
      <c r="AS39" s="1539"/>
      <c r="AT39" s="1537" t="str">
        <f t="shared" ref="AT39" si="18">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
      </c>
      <c r="AX39" s="1337"/>
      <c r="AY39" s="1528"/>
      <c r="AZ39" s="533"/>
      <c r="BE39" s="440"/>
      <c r="BF39" s="1335" t="str">
        <f>G38</f>
        <v/>
      </c>
      <c r="BG39" s="1335"/>
      <c r="BH39" s="1335"/>
    </row>
    <row r="40" spans="1:60" ht="15" customHeight="1">
      <c r="A40" s="1326"/>
      <c r="B40" s="1301"/>
      <c r="C40" s="1302"/>
      <c r="D40" s="1302"/>
      <c r="E40" s="1302"/>
      <c r="F40" s="1303"/>
      <c r="G40" s="1268"/>
      <c r="H40" s="1268"/>
      <c r="I40" s="1268"/>
      <c r="J40" s="1443"/>
      <c r="K40" s="1268"/>
      <c r="L40" s="1454"/>
      <c r="M40" s="1463"/>
      <c r="N40" s="1400"/>
      <c r="O40" s="1421"/>
      <c r="P40" s="1401" t="s">
        <v>2179</v>
      </c>
      <c r="Q40" s="1460" t="str">
        <f>IFERROR(VLOOKUP('別紙様式2-2（４・５月分）'!AR32,【参考】数式用!$AT$5:$AV$22,3,FALSE),"")</f>
        <v/>
      </c>
      <c r="R40" s="1405" t="s">
        <v>2190</v>
      </c>
      <c r="S40" s="1407" t="str">
        <f>IFERROR(VLOOKUP(K38,【参考】数式用!$A$5:$AB$27,MATCH(Q40,【参考】数式用!$B$4:$AB$4,0)+1,0),"")</f>
        <v/>
      </c>
      <c r="T40" s="1409" t="s">
        <v>2267</v>
      </c>
      <c r="U40" s="1561"/>
      <c r="V40" s="1413" t="str">
        <f>IFERROR(VLOOKUP(K38,【参考】数式用!$A$5:$AB$27,MATCH(U40,【参考】数式用!$B$4:$AB$4,0)+1,0),"")</f>
        <v/>
      </c>
      <c r="W40" s="1415" t="s">
        <v>19</v>
      </c>
      <c r="X40" s="1559"/>
      <c r="Y40" s="1397" t="s">
        <v>10</v>
      </c>
      <c r="Z40" s="1559"/>
      <c r="AA40" s="1397" t="s">
        <v>45</v>
      </c>
      <c r="AB40" s="1559"/>
      <c r="AC40" s="1397" t="s">
        <v>10</v>
      </c>
      <c r="AD40" s="1559"/>
      <c r="AE40" s="1397" t="s">
        <v>2172</v>
      </c>
      <c r="AF40" s="1397" t="s">
        <v>24</v>
      </c>
      <c r="AG40" s="1397" t="str">
        <f>IF(X40&gt;=1,(AB40*12+AD40)-(X40*12+Z40)+1,"")</f>
        <v/>
      </c>
      <c r="AH40" s="1365" t="s">
        <v>38</v>
      </c>
      <c r="AI40" s="1489" t="str">
        <f t="shared" ref="AI40" si="19">IFERROR(ROUNDDOWN(ROUND(L38*V40,0)*M38,0)*AG40,"")</f>
        <v/>
      </c>
      <c r="AJ40" s="1553" t="str">
        <f>IFERROR(ROUNDDOWN(ROUND((L38*(V40-AX38)),0)*M38,0)*AG40,"")</f>
        <v/>
      </c>
      <c r="AK40" s="1371"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IF(AND(AB38&lt;&gt;7,AD38&lt;&gt;3),"V列に色付け","")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
      </c>
      <c r="BG40" s="1335"/>
      <c r="BH40" s="1335"/>
    </row>
    <row r="41" spans="1:60" ht="30" customHeight="1" thickBot="1">
      <c r="A41" s="1316"/>
      <c r="B41" s="1439"/>
      <c r="C41" s="1440"/>
      <c r="D41" s="1440"/>
      <c r="E41" s="1440"/>
      <c r="F41" s="1441"/>
      <c r="G41" s="1269"/>
      <c r="H41" s="1269"/>
      <c r="I41" s="1269"/>
      <c r="J41" s="1444"/>
      <c r="K41" s="1269"/>
      <c r="L41" s="1455"/>
      <c r="M41" s="1464"/>
      <c r="N41" s="662" t="str">
        <f>IF('別紙様式2-2（４・５月分）'!Q34="","",'別紙様式2-2（４・５月分）'!Q34)</f>
        <v/>
      </c>
      <c r="O41" s="1422"/>
      <c r="P41" s="1402"/>
      <c r="Q41" s="1461"/>
      <c r="R41" s="1406"/>
      <c r="S41" s="1408"/>
      <c r="T41" s="1410"/>
      <c r="U41" s="1562"/>
      <c r="V41" s="1414"/>
      <c r="W41" s="1416"/>
      <c r="X41" s="1560"/>
      <c r="Y41" s="1398"/>
      <c r="Z41" s="1560"/>
      <c r="AA41" s="1398"/>
      <c r="AB41" s="1560"/>
      <c r="AC41" s="1398"/>
      <c r="AD41" s="1560"/>
      <c r="AE41" s="1398"/>
      <c r="AF41" s="1398"/>
      <c r="AG41" s="1398"/>
      <c r="AH41" s="1366"/>
      <c r="AI41" s="1490"/>
      <c r="AJ41" s="1554"/>
      <c r="AK41" s="1372"/>
      <c r="AL41" s="1556"/>
      <c r="AM41" s="1558"/>
      <c r="AN41" s="1550"/>
      <c r="AO41" s="1530"/>
      <c r="AP41" s="1552"/>
      <c r="AQ41" s="1530"/>
      <c r="AR41" s="1532"/>
      <c r="AS41" s="153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
      </c>
      <c r="BG41" s="1335"/>
      <c r="BH41" s="1335"/>
    </row>
    <row r="42" spans="1:60"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43"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2258</v>
      </c>
      <c r="U42" s="1576" t="str">
        <f>IF('別紙様式2-3（６月以降分）'!U42="","",'別紙様式2-3（６月以降分）'!U42)</f>
        <v/>
      </c>
      <c r="V42" s="1435" t="str">
        <f>IFERROR(VLOOKUP(K42,【参考】数式用!$A$5:$AB$27,MATCH(U42,【参考】数式用!$B$4:$AB$4,0)+1,0),"")</f>
        <v/>
      </c>
      <c r="W42" s="1437" t="s">
        <v>19</v>
      </c>
      <c r="X42" s="1574">
        <f>'別紙様式2-3（６月以降分）'!X42</f>
        <v>6</v>
      </c>
      <c r="Y42" s="1377" t="s">
        <v>10</v>
      </c>
      <c r="Z42" s="1574">
        <f>'別紙様式2-3（６月以降分）'!Z42</f>
        <v>6</v>
      </c>
      <c r="AA42" s="1377" t="s">
        <v>45</v>
      </c>
      <c r="AB42" s="1574">
        <f>'別紙様式2-3（６月以降分）'!AB42</f>
        <v>7</v>
      </c>
      <c r="AC42" s="1377" t="s">
        <v>10</v>
      </c>
      <c r="AD42" s="1574">
        <f>'別紙様式2-3（６月以降分）'!AD42</f>
        <v>3</v>
      </c>
      <c r="AE42" s="1377" t="s">
        <v>2172</v>
      </c>
      <c r="AF42" s="1377" t="s">
        <v>24</v>
      </c>
      <c r="AG42" s="1377">
        <f>IF(X42&gt;=1,(AB42*12+AD42)-(X42*12+Z42)+1,"")</f>
        <v>10</v>
      </c>
      <c r="AH42" s="1379" t="s">
        <v>38</v>
      </c>
      <c r="AI42" s="1381"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315"/>
      <c r="B43" s="1301"/>
      <c r="C43" s="1302"/>
      <c r="D43" s="1302"/>
      <c r="E43" s="1302"/>
      <c r="F43" s="1303"/>
      <c r="G43" s="1268"/>
      <c r="H43" s="1268"/>
      <c r="I43" s="1268"/>
      <c r="J43" s="1443"/>
      <c r="K43" s="1268"/>
      <c r="L43" s="1454"/>
      <c r="M43" s="1456"/>
      <c r="N43" s="1399" t="str">
        <f>IF('別紙様式2-2（４・５月分）'!Q36="","",'別紙様式2-2（４・５月分）'!Q36)</f>
        <v/>
      </c>
      <c r="O43" s="1420"/>
      <c r="P43" s="1426"/>
      <c r="Q43" s="1427"/>
      <c r="R43" s="1428"/>
      <c r="S43" s="1430"/>
      <c r="T43" s="1432"/>
      <c r="U43" s="1577"/>
      <c r="V43" s="1436"/>
      <c r="W43" s="1438"/>
      <c r="X43" s="1575"/>
      <c r="Y43" s="1378"/>
      <c r="Z43" s="1575"/>
      <c r="AA43" s="1378"/>
      <c r="AB43" s="1575"/>
      <c r="AC43" s="1378"/>
      <c r="AD43" s="1575"/>
      <c r="AE43" s="1378"/>
      <c r="AF43" s="1378"/>
      <c r="AG43" s="1378"/>
      <c r="AH43" s="1380"/>
      <c r="AI43" s="1382"/>
      <c r="AJ43" s="1569"/>
      <c r="AK43" s="1571"/>
      <c r="AL43" s="1573"/>
      <c r="AM43" s="1564"/>
      <c r="AN43" s="1566"/>
      <c r="AO43" s="1394"/>
      <c r="AP43" s="1567"/>
      <c r="AQ43" s="1394"/>
      <c r="AR43" s="1536"/>
      <c r="AS43" s="1539"/>
      <c r="AT43" s="1537" t="str">
        <f t="shared" ref="AT43" si="22">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1"/>
      <c r="C44" s="1302"/>
      <c r="D44" s="1302"/>
      <c r="E44" s="1302"/>
      <c r="F44" s="1303"/>
      <c r="G44" s="1268"/>
      <c r="H44" s="1268"/>
      <c r="I44" s="1268"/>
      <c r="J44" s="1443"/>
      <c r="K44" s="1268"/>
      <c r="L44" s="1454"/>
      <c r="M44" s="1456"/>
      <c r="N44" s="1400"/>
      <c r="O44" s="1421"/>
      <c r="P44" s="1401" t="s">
        <v>2179</v>
      </c>
      <c r="Q44" s="1460" t="str">
        <f>IFERROR(VLOOKUP('別紙様式2-2（４・５月分）'!AR35,【参考】数式用!$AT$5:$AV$22,3,FALSE),"")</f>
        <v/>
      </c>
      <c r="R44" s="1405" t="s">
        <v>2190</v>
      </c>
      <c r="S44" s="1447" t="str">
        <f>IFERROR(VLOOKUP(K42,【参考】数式用!$A$5:$AB$27,MATCH(Q44,【参考】数式用!$B$4:$AB$4,0)+1,0),"")</f>
        <v/>
      </c>
      <c r="T44" s="1409" t="s">
        <v>2267</v>
      </c>
      <c r="U44" s="1561"/>
      <c r="V44" s="1413" t="str">
        <f>IFERROR(VLOOKUP(K42,【参考】数式用!$A$5:$AB$27,MATCH(U44,【参考】数式用!$B$4:$AB$4,0)+1,0),"")</f>
        <v/>
      </c>
      <c r="W44" s="1415" t="s">
        <v>19</v>
      </c>
      <c r="X44" s="1559"/>
      <c r="Y44" s="1397" t="s">
        <v>10</v>
      </c>
      <c r="Z44" s="1559"/>
      <c r="AA44" s="1397" t="s">
        <v>45</v>
      </c>
      <c r="AB44" s="1559"/>
      <c r="AC44" s="1397" t="s">
        <v>10</v>
      </c>
      <c r="AD44" s="1559"/>
      <c r="AE44" s="1397" t="s">
        <v>2172</v>
      </c>
      <c r="AF44" s="1397" t="s">
        <v>24</v>
      </c>
      <c r="AG44" s="1397" t="str">
        <f>IF(X44&gt;=1,(AB44*12+AD44)-(X44*12+Z44)+1,"")</f>
        <v/>
      </c>
      <c r="AH44" s="1365" t="s">
        <v>38</v>
      </c>
      <c r="AI44" s="1489" t="str">
        <f t="shared" ref="AI44" si="23">IFERROR(ROUNDDOWN(ROUND(L42*V44,0)*M42,0)*AG44,"")</f>
        <v/>
      </c>
      <c r="AJ44" s="1553" t="str">
        <f>IFERROR(ROUNDDOWN(ROUND((L42*(V44-AX42)),0)*M42,0)*AG44,"")</f>
        <v/>
      </c>
      <c r="AK44" s="1371"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IF(AND(AB42&lt;&gt;7,AD42&lt;&gt;3),"V列に色付け","")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316"/>
      <c r="B45" s="1439"/>
      <c r="C45" s="1440"/>
      <c r="D45" s="1440"/>
      <c r="E45" s="1440"/>
      <c r="F45" s="1441"/>
      <c r="G45" s="1269"/>
      <c r="H45" s="1269"/>
      <c r="I45" s="1269"/>
      <c r="J45" s="1444"/>
      <c r="K45" s="1269"/>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66"/>
      <c r="AI45" s="1490"/>
      <c r="AJ45" s="1554"/>
      <c r="AK45" s="1372"/>
      <c r="AL45" s="1556"/>
      <c r="AM45" s="1558"/>
      <c r="AN45" s="1550"/>
      <c r="AO45" s="1530"/>
      <c r="AP45" s="1552"/>
      <c r="AQ45" s="1530"/>
      <c r="AR45" s="1532"/>
      <c r="AS45" s="153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314">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42" t="str">
        <f>IF(基本情報入力シート!X62="","",基本情報入力シート!X62)</f>
        <v/>
      </c>
      <c r="K46" s="1267"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2258</v>
      </c>
      <c r="U46" s="1576" t="str">
        <f>IF('別紙様式2-3（６月以降分）'!U46="","",'別紙様式2-3（６月以降分）'!U46)</f>
        <v/>
      </c>
      <c r="V46" s="1435" t="str">
        <f>IFERROR(VLOOKUP(K46,【参考】数式用!$A$5:$AB$27,MATCH(U46,【参考】数式用!$B$4:$AB$4,0)+1,0),"")</f>
        <v/>
      </c>
      <c r="W46" s="1437" t="s">
        <v>19</v>
      </c>
      <c r="X46" s="1574">
        <f>'別紙様式2-3（６月以降分）'!X46</f>
        <v>6</v>
      </c>
      <c r="Y46" s="1377" t="s">
        <v>10</v>
      </c>
      <c r="Z46" s="1574">
        <f>'別紙様式2-3（６月以降分）'!Z46</f>
        <v>6</v>
      </c>
      <c r="AA46" s="1377" t="s">
        <v>45</v>
      </c>
      <c r="AB46" s="1574">
        <f>'別紙様式2-3（６月以降分）'!AB46</f>
        <v>7</v>
      </c>
      <c r="AC46" s="1377" t="s">
        <v>10</v>
      </c>
      <c r="AD46" s="1574">
        <f>'別紙様式2-3（６月以降分）'!AD46</f>
        <v>3</v>
      </c>
      <c r="AE46" s="1377" t="s">
        <v>2172</v>
      </c>
      <c r="AF46" s="1377" t="s">
        <v>24</v>
      </c>
      <c r="AG46" s="1377">
        <f>IF(X46&gt;=1,(AB46*12+AD46)-(X46*12+Z46)+1,"")</f>
        <v>10</v>
      </c>
      <c r="AH46" s="1379" t="s">
        <v>38</v>
      </c>
      <c r="AI46" s="1381"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315"/>
      <c r="B47" s="1301"/>
      <c r="C47" s="1302"/>
      <c r="D47" s="1302"/>
      <c r="E47" s="1302"/>
      <c r="F47" s="1303"/>
      <c r="G47" s="1268"/>
      <c r="H47" s="1268"/>
      <c r="I47" s="1268"/>
      <c r="J47" s="1443"/>
      <c r="K47" s="1268"/>
      <c r="L47" s="1454"/>
      <c r="M47" s="1463"/>
      <c r="N47" s="1399" t="str">
        <f>IF('別紙様式2-2（４・５月分）'!Q39="","",'別紙様式2-2（４・５月分）'!Q39)</f>
        <v/>
      </c>
      <c r="O47" s="1420"/>
      <c r="P47" s="1426"/>
      <c r="Q47" s="1427"/>
      <c r="R47" s="1428"/>
      <c r="S47" s="1430"/>
      <c r="T47" s="1432"/>
      <c r="U47" s="1577"/>
      <c r="V47" s="1436"/>
      <c r="W47" s="1438"/>
      <c r="X47" s="1575"/>
      <c r="Y47" s="1378"/>
      <c r="Z47" s="1575"/>
      <c r="AA47" s="1378"/>
      <c r="AB47" s="1575"/>
      <c r="AC47" s="1378"/>
      <c r="AD47" s="1575"/>
      <c r="AE47" s="1378"/>
      <c r="AF47" s="1378"/>
      <c r="AG47" s="1378"/>
      <c r="AH47" s="1380"/>
      <c r="AI47" s="1382"/>
      <c r="AJ47" s="1569"/>
      <c r="AK47" s="1571"/>
      <c r="AL47" s="1573"/>
      <c r="AM47" s="1564"/>
      <c r="AN47" s="1566"/>
      <c r="AO47" s="1394"/>
      <c r="AP47" s="1567"/>
      <c r="AQ47" s="1394"/>
      <c r="AR47" s="1536"/>
      <c r="AS47" s="1539"/>
      <c r="AT47" s="1537" t="str">
        <f t="shared" ref="AT47" si="26">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1"/>
      <c r="C48" s="1302"/>
      <c r="D48" s="1302"/>
      <c r="E48" s="1302"/>
      <c r="F48" s="1303"/>
      <c r="G48" s="1268"/>
      <c r="H48" s="1268"/>
      <c r="I48" s="1268"/>
      <c r="J48" s="1443"/>
      <c r="K48" s="1268"/>
      <c r="L48" s="1454"/>
      <c r="M48" s="1463"/>
      <c r="N48" s="1400"/>
      <c r="O48" s="1421"/>
      <c r="P48" s="1401" t="s">
        <v>2179</v>
      </c>
      <c r="Q48" s="1460" t="str">
        <f>IFERROR(VLOOKUP('別紙様式2-2（４・５月分）'!AR38,【参考】数式用!$AT$5:$AV$22,3,FALSE),"")</f>
        <v/>
      </c>
      <c r="R48" s="1405" t="s">
        <v>2190</v>
      </c>
      <c r="S48" s="1407" t="str">
        <f>IFERROR(VLOOKUP(K46,【参考】数式用!$A$5:$AB$27,MATCH(Q48,【参考】数式用!$B$4:$AB$4,0)+1,0),"")</f>
        <v/>
      </c>
      <c r="T48" s="1409" t="s">
        <v>2267</v>
      </c>
      <c r="U48" s="1561"/>
      <c r="V48" s="1413" t="str">
        <f>IFERROR(VLOOKUP(K46,【参考】数式用!$A$5:$AB$27,MATCH(U48,【参考】数式用!$B$4:$AB$4,0)+1,0),"")</f>
        <v/>
      </c>
      <c r="W48" s="1415" t="s">
        <v>19</v>
      </c>
      <c r="X48" s="1559"/>
      <c r="Y48" s="1397" t="s">
        <v>10</v>
      </c>
      <c r="Z48" s="1559"/>
      <c r="AA48" s="1397" t="s">
        <v>45</v>
      </c>
      <c r="AB48" s="1559"/>
      <c r="AC48" s="1397" t="s">
        <v>10</v>
      </c>
      <c r="AD48" s="1559"/>
      <c r="AE48" s="1397" t="s">
        <v>2172</v>
      </c>
      <c r="AF48" s="1397" t="s">
        <v>24</v>
      </c>
      <c r="AG48" s="1397" t="str">
        <f>IF(X48&gt;=1,(AB48*12+AD48)-(X48*12+Z48)+1,"")</f>
        <v/>
      </c>
      <c r="AH48" s="1365" t="s">
        <v>38</v>
      </c>
      <c r="AI48" s="1489" t="str">
        <f t="shared" ref="AI48" si="27">IFERROR(ROUNDDOWN(ROUND(L46*V48,0)*M46,0)*AG48,"")</f>
        <v/>
      </c>
      <c r="AJ48" s="1553" t="str">
        <f>IFERROR(ROUNDDOWN(ROUND((L46*(V48-AX46)),0)*M46,0)*AG48,"")</f>
        <v/>
      </c>
      <c r="AK48" s="1371"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IF(AND(AB46&lt;&gt;7,AD46&lt;&gt;3),"V列に色付け","")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316"/>
      <c r="B49" s="1439"/>
      <c r="C49" s="1440"/>
      <c r="D49" s="1440"/>
      <c r="E49" s="1440"/>
      <c r="F49" s="1441"/>
      <c r="G49" s="1269"/>
      <c r="H49" s="1269"/>
      <c r="I49" s="1269"/>
      <c r="J49" s="1444"/>
      <c r="K49" s="1269"/>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66"/>
      <c r="AI49" s="1490"/>
      <c r="AJ49" s="1554"/>
      <c r="AK49" s="1372"/>
      <c r="AL49" s="1556"/>
      <c r="AM49" s="1558"/>
      <c r="AN49" s="1550"/>
      <c r="AO49" s="1530"/>
      <c r="AP49" s="1552"/>
      <c r="AQ49" s="1530"/>
      <c r="AR49" s="1532"/>
      <c r="AS49" s="153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314">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42" t="str">
        <f>IF(基本情報入力シート!X63="","",基本情報入力シート!X63)</f>
        <v/>
      </c>
      <c r="K50" s="1267"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2258</v>
      </c>
      <c r="U50" s="1576" t="str">
        <f>IF('別紙様式2-3（６月以降分）'!U50="","",'別紙様式2-3（６月以降分）'!U50)</f>
        <v/>
      </c>
      <c r="V50" s="1435" t="str">
        <f>IFERROR(VLOOKUP(K50,【参考】数式用!$A$5:$AB$27,MATCH(U50,【参考】数式用!$B$4:$AB$4,0)+1,0),"")</f>
        <v/>
      </c>
      <c r="W50" s="1437" t="s">
        <v>19</v>
      </c>
      <c r="X50" s="1574">
        <f>'別紙様式2-3（６月以降分）'!X50</f>
        <v>6</v>
      </c>
      <c r="Y50" s="1377" t="s">
        <v>10</v>
      </c>
      <c r="Z50" s="1574">
        <f>'別紙様式2-3（６月以降分）'!Z50</f>
        <v>6</v>
      </c>
      <c r="AA50" s="1377" t="s">
        <v>45</v>
      </c>
      <c r="AB50" s="1574">
        <f>'別紙様式2-3（６月以降分）'!AB50</f>
        <v>7</v>
      </c>
      <c r="AC50" s="1377" t="s">
        <v>10</v>
      </c>
      <c r="AD50" s="1574">
        <f>'別紙様式2-3（６月以降分）'!AD50</f>
        <v>3</v>
      </c>
      <c r="AE50" s="1377" t="s">
        <v>2172</v>
      </c>
      <c r="AF50" s="1377" t="s">
        <v>24</v>
      </c>
      <c r="AG50" s="1377">
        <f>IF(X50&gt;=1,(AB50*12+AD50)-(X50*12+Z50)+1,"")</f>
        <v>10</v>
      </c>
      <c r="AH50" s="1379" t="s">
        <v>38</v>
      </c>
      <c r="AI50" s="1381"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315"/>
      <c r="B51" s="1301"/>
      <c r="C51" s="1510"/>
      <c r="D51" s="1510"/>
      <c r="E51" s="1510"/>
      <c r="F51" s="1303"/>
      <c r="G51" s="1268"/>
      <c r="H51" s="1268"/>
      <c r="I51" s="1268"/>
      <c r="J51" s="1443"/>
      <c r="K51" s="1268"/>
      <c r="L51" s="1454"/>
      <c r="M51" s="1456"/>
      <c r="N51" s="1399" t="str">
        <f>IF('別紙様式2-2（４・５月分）'!Q42="","",'別紙様式2-2（４・５月分）'!Q42)</f>
        <v/>
      </c>
      <c r="O51" s="1420"/>
      <c r="P51" s="1426"/>
      <c r="Q51" s="1427"/>
      <c r="R51" s="1428"/>
      <c r="S51" s="1430"/>
      <c r="T51" s="1432"/>
      <c r="U51" s="1577"/>
      <c r="V51" s="1436"/>
      <c r="W51" s="1438"/>
      <c r="X51" s="1575"/>
      <c r="Y51" s="1378"/>
      <c r="Z51" s="1575"/>
      <c r="AA51" s="1378"/>
      <c r="AB51" s="1575"/>
      <c r="AC51" s="1378"/>
      <c r="AD51" s="1575"/>
      <c r="AE51" s="1378"/>
      <c r="AF51" s="1378"/>
      <c r="AG51" s="1378"/>
      <c r="AH51" s="1380"/>
      <c r="AI51" s="1382"/>
      <c r="AJ51" s="1569"/>
      <c r="AK51" s="1571"/>
      <c r="AL51" s="1573"/>
      <c r="AM51" s="1564"/>
      <c r="AN51" s="1566"/>
      <c r="AO51" s="1394"/>
      <c r="AP51" s="1567"/>
      <c r="AQ51" s="1394"/>
      <c r="AR51" s="1536"/>
      <c r="AS51" s="1539"/>
      <c r="AT51" s="1537" t="str">
        <f t="shared" ref="AT51" si="30">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1"/>
      <c r="C52" s="1510"/>
      <c r="D52" s="1510"/>
      <c r="E52" s="1510"/>
      <c r="F52" s="1303"/>
      <c r="G52" s="1268"/>
      <c r="H52" s="1268"/>
      <c r="I52" s="1268"/>
      <c r="J52" s="1443"/>
      <c r="K52" s="1268"/>
      <c r="L52" s="1454"/>
      <c r="M52" s="1456"/>
      <c r="N52" s="1400"/>
      <c r="O52" s="1421"/>
      <c r="P52" s="1401" t="s">
        <v>2179</v>
      </c>
      <c r="Q52" s="1460" t="str">
        <f>IFERROR(VLOOKUP('別紙様式2-2（４・５月分）'!AR41,【参考】数式用!$AT$5:$AV$22,3,FALSE),"")</f>
        <v/>
      </c>
      <c r="R52" s="1405" t="s">
        <v>2190</v>
      </c>
      <c r="S52" s="1447" t="str">
        <f>IFERROR(VLOOKUP(K50,【参考】数式用!$A$5:$AB$27,MATCH(Q52,【参考】数式用!$B$4:$AB$4,0)+1,0),"")</f>
        <v/>
      </c>
      <c r="T52" s="1409" t="s">
        <v>2267</v>
      </c>
      <c r="U52" s="1561"/>
      <c r="V52" s="1413" t="str">
        <f>IFERROR(VLOOKUP(K50,【参考】数式用!$A$5:$AB$27,MATCH(U52,【参考】数式用!$B$4:$AB$4,0)+1,0),"")</f>
        <v/>
      </c>
      <c r="W52" s="1415" t="s">
        <v>19</v>
      </c>
      <c r="X52" s="1559"/>
      <c r="Y52" s="1397" t="s">
        <v>10</v>
      </c>
      <c r="Z52" s="1559"/>
      <c r="AA52" s="1397" t="s">
        <v>45</v>
      </c>
      <c r="AB52" s="1559"/>
      <c r="AC52" s="1397" t="s">
        <v>10</v>
      </c>
      <c r="AD52" s="1559"/>
      <c r="AE52" s="1397" t="s">
        <v>2172</v>
      </c>
      <c r="AF52" s="1397" t="s">
        <v>24</v>
      </c>
      <c r="AG52" s="1397" t="str">
        <f>IF(X52&gt;=1,(AB52*12+AD52)-(X52*12+Z52)+1,"")</f>
        <v/>
      </c>
      <c r="AH52" s="1365" t="s">
        <v>38</v>
      </c>
      <c r="AI52" s="1489" t="str">
        <f t="shared" ref="AI52" si="31">IFERROR(ROUNDDOWN(ROUND(L50*V52,0)*M50,0)*AG52,"")</f>
        <v/>
      </c>
      <c r="AJ52" s="1553" t="str">
        <f>IFERROR(ROUNDDOWN(ROUND((L50*(V52-AX50)),0)*M50,0)*AG52,"")</f>
        <v/>
      </c>
      <c r="AK52" s="1371"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IF(AND(AB50&lt;&gt;7,AD50&lt;&gt;3),"V列に色付け","")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316"/>
      <c r="B53" s="1439"/>
      <c r="C53" s="1440"/>
      <c r="D53" s="1440"/>
      <c r="E53" s="1440"/>
      <c r="F53" s="1441"/>
      <c r="G53" s="1269"/>
      <c r="H53" s="1269"/>
      <c r="I53" s="1269"/>
      <c r="J53" s="1444"/>
      <c r="K53" s="1269"/>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66"/>
      <c r="AI53" s="1490"/>
      <c r="AJ53" s="1554"/>
      <c r="AK53" s="1372"/>
      <c r="AL53" s="1556"/>
      <c r="AM53" s="1558"/>
      <c r="AN53" s="1550"/>
      <c r="AO53" s="1530"/>
      <c r="AP53" s="1552"/>
      <c r="AQ53" s="1530"/>
      <c r="AR53" s="1532"/>
      <c r="AS53" s="153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314">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42" t="str">
        <f>IF(基本情報入力シート!X64="","",基本情報入力シート!X64)</f>
        <v/>
      </c>
      <c r="K54" s="1267"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2258</v>
      </c>
      <c r="U54" s="1576" t="str">
        <f>IF('別紙様式2-3（６月以降分）'!U54="","",'別紙様式2-3（６月以降分）'!U54)</f>
        <v/>
      </c>
      <c r="V54" s="1435" t="str">
        <f>IFERROR(VLOOKUP(K54,【参考】数式用!$A$5:$AB$27,MATCH(U54,【参考】数式用!$B$4:$AB$4,0)+1,0),"")</f>
        <v/>
      </c>
      <c r="W54" s="1437" t="s">
        <v>19</v>
      </c>
      <c r="X54" s="1574">
        <f>'別紙様式2-3（６月以降分）'!X54</f>
        <v>6</v>
      </c>
      <c r="Y54" s="1377" t="s">
        <v>10</v>
      </c>
      <c r="Z54" s="1574">
        <f>'別紙様式2-3（６月以降分）'!Z54</f>
        <v>6</v>
      </c>
      <c r="AA54" s="1377" t="s">
        <v>45</v>
      </c>
      <c r="AB54" s="1574">
        <f>'別紙様式2-3（６月以降分）'!AB54</f>
        <v>7</v>
      </c>
      <c r="AC54" s="1377" t="s">
        <v>10</v>
      </c>
      <c r="AD54" s="1574">
        <f>'別紙様式2-3（６月以降分）'!AD54</f>
        <v>3</v>
      </c>
      <c r="AE54" s="1377" t="s">
        <v>2172</v>
      </c>
      <c r="AF54" s="1377" t="s">
        <v>24</v>
      </c>
      <c r="AG54" s="1377">
        <f>IF(X54&gt;=1,(AB54*12+AD54)-(X54*12+Z54)+1,"")</f>
        <v>10</v>
      </c>
      <c r="AH54" s="1379" t="s">
        <v>38</v>
      </c>
      <c r="AI54" s="1381"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315"/>
      <c r="B55" s="1301"/>
      <c r="C55" s="1302"/>
      <c r="D55" s="1302"/>
      <c r="E55" s="1302"/>
      <c r="F55" s="1303"/>
      <c r="G55" s="1268"/>
      <c r="H55" s="1268"/>
      <c r="I55" s="1268"/>
      <c r="J55" s="1443"/>
      <c r="K55" s="1268"/>
      <c r="L55" s="1454"/>
      <c r="M55" s="1463"/>
      <c r="N55" s="1399" t="str">
        <f>IF('別紙様式2-2（４・５月分）'!Q45="","",'別紙様式2-2（４・５月分）'!Q45)</f>
        <v/>
      </c>
      <c r="O55" s="1420"/>
      <c r="P55" s="1426"/>
      <c r="Q55" s="1427"/>
      <c r="R55" s="1428"/>
      <c r="S55" s="1430"/>
      <c r="T55" s="1432"/>
      <c r="U55" s="1577"/>
      <c r="V55" s="1436"/>
      <c r="W55" s="1438"/>
      <c r="X55" s="1575"/>
      <c r="Y55" s="1378"/>
      <c r="Z55" s="1575"/>
      <c r="AA55" s="1378"/>
      <c r="AB55" s="1575"/>
      <c r="AC55" s="1378"/>
      <c r="AD55" s="1575"/>
      <c r="AE55" s="1378"/>
      <c r="AF55" s="1378"/>
      <c r="AG55" s="1378"/>
      <c r="AH55" s="1380"/>
      <c r="AI55" s="1382"/>
      <c r="AJ55" s="1569"/>
      <c r="AK55" s="1571"/>
      <c r="AL55" s="1573"/>
      <c r="AM55" s="1564"/>
      <c r="AN55" s="1566"/>
      <c r="AO55" s="1394"/>
      <c r="AP55" s="1567"/>
      <c r="AQ55" s="1394"/>
      <c r="AR55" s="1536"/>
      <c r="AS55" s="1539"/>
      <c r="AT55" s="1537" t="str">
        <f t="shared" ref="AT55" si="34">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1"/>
      <c r="C56" s="1302"/>
      <c r="D56" s="1302"/>
      <c r="E56" s="1302"/>
      <c r="F56" s="1303"/>
      <c r="G56" s="1268"/>
      <c r="H56" s="1268"/>
      <c r="I56" s="1268"/>
      <c r="J56" s="1443"/>
      <c r="K56" s="1268"/>
      <c r="L56" s="1454"/>
      <c r="M56" s="1463"/>
      <c r="N56" s="1400"/>
      <c r="O56" s="1421"/>
      <c r="P56" s="1401" t="s">
        <v>2179</v>
      </c>
      <c r="Q56" s="1460" t="str">
        <f>IFERROR(VLOOKUP('別紙様式2-2（４・５月分）'!AR44,【参考】数式用!$AT$5:$AV$22,3,FALSE),"")</f>
        <v/>
      </c>
      <c r="R56" s="1405" t="s">
        <v>2190</v>
      </c>
      <c r="S56" s="1407" t="str">
        <f>IFERROR(VLOOKUP(K54,【参考】数式用!$A$5:$AB$27,MATCH(Q56,【参考】数式用!$B$4:$AB$4,0)+1,0),"")</f>
        <v/>
      </c>
      <c r="T56" s="1409" t="s">
        <v>2267</v>
      </c>
      <c r="U56" s="1561"/>
      <c r="V56" s="1413" t="str">
        <f>IFERROR(VLOOKUP(K54,【参考】数式用!$A$5:$AB$27,MATCH(U56,【参考】数式用!$B$4:$AB$4,0)+1,0),"")</f>
        <v/>
      </c>
      <c r="W56" s="1415" t="s">
        <v>19</v>
      </c>
      <c r="X56" s="1559"/>
      <c r="Y56" s="1397" t="s">
        <v>10</v>
      </c>
      <c r="Z56" s="1559"/>
      <c r="AA56" s="1397" t="s">
        <v>45</v>
      </c>
      <c r="AB56" s="1559"/>
      <c r="AC56" s="1397" t="s">
        <v>10</v>
      </c>
      <c r="AD56" s="1559"/>
      <c r="AE56" s="1397" t="s">
        <v>2172</v>
      </c>
      <c r="AF56" s="1397" t="s">
        <v>24</v>
      </c>
      <c r="AG56" s="1397" t="str">
        <f>IF(X56&gt;=1,(AB56*12+AD56)-(X56*12+Z56)+1,"")</f>
        <v/>
      </c>
      <c r="AH56" s="1365" t="s">
        <v>38</v>
      </c>
      <c r="AI56" s="1489" t="str">
        <f t="shared" ref="AI56" si="35">IFERROR(ROUNDDOWN(ROUND(L54*V56,0)*M54,0)*AG56,"")</f>
        <v/>
      </c>
      <c r="AJ56" s="1553" t="str">
        <f>IFERROR(ROUNDDOWN(ROUND((L54*(V56-AX54)),0)*M54,0)*AG56,"")</f>
        <v/>
      </c>
      <c r="AK56" s="1371"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IF(AND(AB54&lt;&gt;7,AD54&lt;&gt;3),"V列に色付け","")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316"/>
      <c r="B57" s="1439"/>
      <c r="C57" s="1440"/>
      <c r="D57" s="1440"/>
      <c r="E57" s="1440"/>
      <c r="F57" s="1441"/>
      <c r="G57" s="1269"/>
      <c r="H57" s="1269"/>
      <c r="I57" s="1269"/>
      <c r="J57" s="1444"/>
      <c r="K57" s="1269"/>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66"/>
      <c r="AI57" s="1490"/>
      <c r="AJ57" s="1554"/>
      <c r="AK57" s="1372"/>
      <c r="AL57" s="1556"/>
      <c r="AM57" s="1558"/>
      <c r="AN57" s="1550"/>
      <c r="AO57" s="1530"/>
      <c r="AP57" s="1552"/>
      <c r="AQ57" s="1530"/>
      <c r="AR57" s="1532"/>
      <c r="AS57" s="153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43"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2258</v>
      </c>
      <c r="U58" s="1576" t="str">
        <f>IF('別紙様式2-3（６月以降分）'!U58="","",'別紙様式2-3（６月以降分）'!U58)</f>
        <v/>
      </c>
      <c r="V58" s="1435" t="str">
        <f>IFERROR(VLOOKUP(K58,【参考】数式用!$A$5:$AB$27,MATCH(U58,【参考】数式用!$B$4:$AB$4,0)+1,0),"")</f>
        <v/>
      </c>
      <c r="W58" s="1437" t="s">
        <v>19</v>
      </c>
      <c r="X58" s="1574">
        <f>'別紙様式2-3（６月以降分）'!X58</f>
        <v>6</v>
      </c>
      <c r="Y58" s="1377" t="s">
        <v>10</v>
      </c>
      <c r="Z58" s="1574">
        <f>'別紙様式2-3（６月以降分）'!Z58</f>
        <v>6</v>
      </c>
      <c r="AA58" s="1377" t="s">
        <v>45</v>
      </c>
      <c r="AB58" s="1574">
        <f>'別紙様式2-3（６月以降分）'!AB58</f>
        <v>7</v>
      </c>
      <c r="AC58" s="1377" t="s">
        <v>10</v>
      </c>
      <c r="AD58" s="1574">
        <f>'別紙様式2-3（６月以降分）'!AD58</f>
        <v>3</v>
      </c>
      <c r="AE58" s="1377" t="s">
        <v>2172</v>
      </c>
      <c r="AF58" s="1377" t="s">
        <v>24</v>
      </c>
      <c r="AG58" s="1377">
        <f>IF(X58&gt;=1,(AB58*12+AD58)-(X58*12+Z58)+1,"")</f>
        <v>10</v>
      </c>
      <c r="AH58" s="1379" t="s">
        <v>38</v>
      </c>
      <c r="AI58" s="1381"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315"/>
      <c r="B59" s="1301"/>
      <c r="C59" s="1302"/>
      <c r="D59" s="1302"/>
      <c r="E59" s="1302"/>
      <c r="F59" s="1303"/>
      <c r="G59" s="1268"/>
      <c r="H59" s="1268"/>
      <c r="I59" s="1268"/>
      <c r="J59" s="1443"/>
      <c r="K59" s="1268"/>
      <c r="L59" s="1454"/>
      <c r="M59" s="1456"/>
      <c r="N59" s="1399" t="str">
        <f>IF('別紙様式2-2（４・５月分）'!Q48="","",'別紙様式2-2（４・５月分）'!Q48)</f>
        <v/>
      </c>
      <c r="O59" s="1420"/>
      <c r="P59" s="1426"/>
      <c r="Q59" s="1427"/>
      <c r="R59" s="1428"/>
      <c r="S59" s="1430"/>
      <c r="T59" s="1432"/>
      <c r="U59" s="1577"/>
      <c r="V59" s="1436"/>
      <c r="W59" s="1438"/>
      <c r="X59" s="1575"/>
      <c r="Y59" s="1378"/>
      <c r="Z59" s="1575"/>
      <c r="AA59" s="1378"/>
      <c r="AB59" s="1575"/>
      <c r="AC59" s="1378"/>
      <c r="AD59" s="1575"/>
      <c r="AE59" s="1378"/>
      <c r="AF59" s="1378"/>
      <c r="AG59" s="1378"/>
      <c r="AH59" s="1380"/>
      <c r="AI59" s="1382"/>
      <c r="AJ59" s="1569"/>
      <c r="AK59" s="1571"/>
      <c r="AL59" s="1573"/>
      <c r="AM59" s="1564"/>
      <c r="AN59" s="1566"/>
      <c r="AO59" s="1394"/>
      <c r="AP59" s="1567"/>
      <c r="AQ59" s="1394"/>
      <c r="AR59" s="1536"/>
      <c r="AS59" s="1539"/>
      <c r="AT59" s="1537" t="str">
        <f t="shared" ref="AT59" si="3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1"/>
      <c r="C60" s="1302"/>
      <c r="D60" s="1302"/>
      <c r="E60" s="1302"/>
      <c r="F60" s="1303"/>
      <c r="G60" s="1268"/>
      <c r="H60" s="1268"/>
      <c r="I60" s="1268"/>
      <c r="J60" s="1443"/>
      <c r="K60" s="1268"/>
      <c r="L60" s="1454"/>
      <c r="M60" s="1456"/>
      <c r="N60" s="1400"/>
      <c r="O60" s="1421"/>
      <c r="P60" s="1401" t="s">
        <v>2179</v>
      </c>
      <c r="Q60" s="1460" t="str">
        <f>IFERROR(VLOOKUP('別紙様式2-2（４・５月分）'!AR47,【参考】数式用!$AT$5:$AV$22,3,FALSE),"")</f>
        <v/>
      </c>
      <c r="R60" s="1405" t="s">
        <v>2190</v>
      </c>
      <c r="S60" s="1447" t="str">
        <f>IFERROR(VLOOKUP(K58,【参考】数式用!$A$5:$AB$27,MATCH(Q60,【参考】数式用!$B$4:$AB$4,0)+1,0),"")</f>
        <v/>
      </c>
      <c r="T60" s="1409" t="s">
        <v>2267</v>
      </c>
      <c r="U60" s="1561"/>
      <c r="V60" s="1413" t="str">
        <f>IFERROR(VLOOKUP(K58,【参考】数式用!$A$5:$AB$27,MATCH(U60,【参考】数式用!$B$4:$AB$4,0)+1,0),"")</f>
        <v/>
      </c>
      <c r="W60" s="1415" t="s">
        <v>19</v>
      </c>
      <c r="X60" s="1559"/>
      <c r="Y60" s="1397" t="s">
        <v>10</v>
      </c>
      <c r="Z60" s="1559"/>
      <c r="AA60" s="1397" t="s">
        <v>45</v>
      </c>
      <c r="AB60" s="1559"/>
      <c r="AC60" s="1397" t="s">
        <v>10</v>
      </c>
      <c r="AD60" s="1559"/>
      <c r="AE60" s="1397" t="s">
        <v>2172</v>
      </c>
      <c r="AF60" s="1397" t="s">
        <v>24</v>
      </c>
      <c r="AG60" s="1397" t="str">
        <f>IF(X60&gt;=1,(AB60*12+AD60)-(X60*12+Z60)+1,"")</f>
        <v/>
      </c>
      <c r="AH60" s="1365" t="s">
        <v>38</v>
      </c>
      <c r="AI60" s="1489" t="str">
        <f t="shared" ref="AI60" si="39">IFERROR(ROUNDDOWN(ROUND(L58*V60,0)*M58,0)*AG60,"")</f>
        <v/>
      </c>
      <c r="AJ60" s="1553" t="str">
        <f>IFERROR(ROUNDDOWN(ROUND((L58*(V60-AX58)),0)*M58,0)*AG60,"")</f>
        <v/>
      </c>
      <c r="AK60" s="1371"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IF(AND(AB58&lt;&gt;7,AD58&lt;&gt;3),"V列に色付け","")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316"/>
      <c r="B61" s="1439"/>
      <c r="C61" s="1440"/>
      <c r="D61" s="1440"/>
      <c r="E61" s="1440"/>
      <c r="F61" s="1441"/>
      <c r="G61" s="1269"/>
      <c r="H61" s="1269"/>
      <c r="I61" s="1269"/>
      <c r="J61" s="1444"/>
      <c r="K61" s="1269"/>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66"/>
      <c r="AI61" s="1490"/>
      <c r="AJ61" s="1554"/>
      <c r="AK61" s="1372"/>
      <c r="AL61" s="1556"/>
      <c r="AM61" s="1558"/>
      <c r="AN61" s="1550"/>
      <c r="AO61" s="1530"/>
      <c r="AP61" s="1552"/>
      <c r="AQ61" s="1530"/>
      <c r="AR61" s="1532"/>
      <c r="AS61" s="153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314">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42" t="str">
        <f>IF(基本情報入力シート!X66="","",基本情報入力シート!X66)</f>
        <v/>
      </c>
      <c r="K62" s="1267"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2258</v>
      </c>
      <c r="U62" s="1576" t="str">
        <f>IF('別紙様式2-3（６月以降分）'!U62="","",'別紙様式2-3（６月以降分）'!U62)</f>
        <v/>
      </c>
      <c r="V62" s="1435" t="str">
        <f>IFERROR(VLOOKUP(K62,【参考】数式用!$A$5:$AB$27,MATCH(U62,【参考】数式用!$B$4:$AB$4,0)+1,0),"")</f>
        <v/>
      </c>
      <c r="W62" s="1437" t="s">
        <v>19</v>
      </c>
      <c r="X62" s="1574">
        <f>'別紙様式2-3（６月以降分）'!X62</f>
        <v>6</v>
      </c>
      <c r="Y62" s="1377" t="s">
        <v>10</v>
      </c>
      <c r="Z62" s="1574">
        <f>'別紙様式2-3（６月以降分）'!Z62</f>
        <v>6</v>
      </c>
      <c r="AA62" s="1377" t="s">
        <v>45</v>
      </c>
      <c r="AB62" s="1574">
        <f>'別紙様式2-3（６月以降分）'!AB62</f>
        <v>7</v>
      </c>
      <c r="AC62" s="1377" t="s">
        <v>10</v>
      </c>
      <c r="AD62" s="1574">
        <f>'別紙様式2-3（６月以降分）'!AD62</f>
        <v>3</v>
      </c>
      <c r="AE62" s="1377" t="s">
        <v>2172</v>
      </c>
      <c r="AF62" s="1377" t="s">
        <v>24</v>
      </c>
      <c r="AG62" s="1377">
        <f>IF(X62&gt;=1,(AB62*12+AD62)-(X62*12+Z62)+1,"")</f>
        <v>10</v>
      </c>
      <c r="AH62" s="1379" t="s">
        <v>38</v>
      </c>
      <c r="AI62" s="1381"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315"/>
      <c r="B63" s="1301"/>
      <c r="C63" s="1302"/>
      <c r="D63" s="1302"/>
      <c r="E63" s="1302"/>
      <c r="F63" s="1303"/>
      <c r="G63" s="1268"/>
      <c r="H63" s="1268"/>
      <c r="I63" s="1268"/>
      <c r="J63" s="1443"/>
      <c r="K63" s="1268"/>
      <c r="L63" s="1454"/>
      <c r="M63" s="1463"/>
      <c r="N63" s="1399" t="str">
        <f>IF('別紙様式2-2（４・５月分）'!Q51="","",'別紙様式2-2（４・５月分）'!Q51)</f>
        <v/>
      </c>
      <c r="O63" s="1420"/>
      <c r="P63" s="1426"/>
      <c r="Q63" s="1427"/>
      <c r="R63" s="1428"/>
      <c r="S63" s="1430"/>
      <c r="T63" s="1432"/>
      <c r="U63" s="1577"/>
      <c r="V63" s="1436"/>
      <c r="W63" s="1438"/>
      <c r="X63" s="1575"/>
      <c r="Y63" s="1378"/>
      <c r="Z63" s="1575"/>
      <c r="AA63" s="1378"/>
      <c r="AB63" s="1575"/>
      <c r="AC63" s="1378"/>
      <c r="AD63" s="1575"/>
      <c r="AE63" s="1378"/>
      <c r="AF63" s="1378"/>
      <c r="AG63" s="1378"/>
      <c r="AH63" s="1380"/>
      <c r="AI63" s="1382"/>
      <c r="AJ63" s="1569"/>
      <c r="AK63" s="1571"/>
      <c r="AL63" s="1573"/>
      <c r="AM63" s="1564"/>
      <c r="AN63" s="1566"/>
      <c r="AO63" s="1394"/>
      <c r="AP63" s="1567"/>
      <c r="AQ63" s="1394"/>
      <c r="AR63" s="1536"/>
      <c r="AS63" s="1539"/>
      <c r="AT63" s="1537" t="str">
        <f t="shared" ref="AT63" si="42">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1"/>
      <c r="C64" s="1302"/>
      <c r="D64" s="1302"/>
      <c r="E64" s="1302"/>
      <c r="F64" s="1303"/>
      <c r="G64" s="1268"/>
      <c r="H64" s="1268"/>
      <c r="I64" s="1268"/>
      <c r="J64" s="1443"/>
      <c r="K64" s="1268"/>
      <c r="L64" s="1454"/>
      <c r="M64" s="1463"/>
      <c r="N64" s="1400"/>
      <c r="O64" s="1421"/>
      <c r="P64" s="1401" t="s">
        <v>2179</v>
      </c>
      <c r="Q64" s="1460" t="str">
        <f>IFERROR(VLOOKUP('別紙様式2-2（４・５月分）'!AR50,【参考】数式用!$AT$5:$AV$22,3,FALSE),"")</f>
        <v/>
      </c>
      <c r="R64" s="1405" t="s">
        <v>2190</v>
      </c>
      <c r="S64" s="1407" t="str">
        <f>IFERROR(VLOOKUP(K62,【参考】数式用!$A$5:$AB$27,MATCH(Q64,【参考】数式用!$B$4:$AB$4,0)+1,0),"")</f>
        <v/>
      </c>
      <c r="T64" s="1409" t="s">
        <v>2267</v>
      </c>
      <c r="U64" s="1561"/>
      <c r="V64" s="1413" t="str">
        <f>IFERROR(VLOOKUP(K62,【参考】数式用!$A$5:$AB$27,MATCH(U64,【参考】数式用!$B$4:$AB$4,0)+1,0),"")</f>
        <v/>
      </c>
      <c r="W64" s="1415" t="s">
        <v>19</v>
      </c>
      <c r="X64" s="1559"/>
      <c r="Y64" s="1397" t="s">
        <v>10</v>
      </c>
      <c r="Z64" s="1559"/>
      <c r="AA64" s="1397" t="s">
        <v>45</v>
      </c>
      <c r="AB64" s="1559"/>
      <c r="AC64" s="1397" t="s">
        <v>10</v>
      </c>
      <c r="AD64" s="1559"/>
      <c r="AE64" s="1397" t="s">
        <v>2172</v>
      </c>
      <c r="AF64" s="1397" t="s">
        <v>24</v>
      </c>
      <c r="AG64" s="1397" t="str">
        <f>IF(X64&gt;=1,(AB64*12+AD64)-(X64*12+Z64)+1,"")</f>
        <v/>
      </c>
      <c r="AH64" s="1365" t="s">
        <v>38</v>
      </c>
      <c r="AI64" s="1489" t="str">
        <f t="shared" ref="AI64" si="43">IFERROR(ROUNDDOWN(ROUND(L62*V64,0)*M62,0)*AG64,"")</f>
        <v/>
      </c>
      <c r="AJ64" s="1553" t="str">
        <f>IFERROR(ROUNDDOWN(ROUND((L62*(V64-AX62)),0)*M62,0)*AG64,"")</f>
        <v/>
      </c>
      <c r="AK64" s="1371"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IF(AND(AB62&lt;&gt;7,AD62&lt;&gt;3),"V列に色付け","")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316"/>
      <c r="B65" s="1439"/>
      <c r="C65" s="1440"/>
      <c r="D65" s="1440"/>
      <c r="E65" s="1440"/>
      <c r="F65" s="1441"/>
      <c r="G65" s="1269"/>
      <c r="H65" s="1269"/>
      <c r="I65" s="1269"/>
      <c r="J65" s="1444"/>
      <c r="K65" s="1269"/>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66"/>
      <c r="AI65" s="1490"/>
      <c r="AJ65" s="1554"/>
      <c r="AK65" s="1372"/>
      <c r="AL65" s="1556"/>
      <c r="AM65" s="1558"/>
      <c r="AN65" s="1550"/>
      <c r="AO65" s="1530"/>
      <c r="AP65" s="1552"/>
      <c r="AQ65" s="1530"/>
      <c r="AR65" s="1532"/>
      <c r="AS65" s="153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43"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2258</v>
      </c>
      <c r="U66" s="1576" t="str">
        <f>IF('別紙様式2-3（６月以降分）'!U66="","",'別紙様式2-3（６月以降分）'!U66)</f>
        <v/>
      </c>
      <c r="V66" s="1435" t="str">
        <f>IFERROR(VLOOKUP(K66,【参考】数式用!$A$5:$AB$27,MATCH(U66,【参考】数式用!$B$4:$AB$4,0)+1,0),"")</f>
        <v/>
      </c>
      <c r="W66" s="1437" t="s">
        <v>19</v>
      </c>
      <c r="X66" s="1574">
        <f>'別紙様式2-3（６月以降分）'!X66</f>
        <v>6</v>
      </c>
      <c r="Y66" s="1377" t="s">
        <v>10</v>
      </c>
      <c r="Z66" s="1574">
        <f>'別紙様式2-3（６月以降分）'!Z66</f>
        <v>6</v>
      </c>
      <c r="AA66" s="1377" t="s">
        <v>45</v>
      </c>
      <c r="AB66" s="1574">
        <f>'別紙様式2-3（６月以降分）'!AB66</f>
        <v>7</v>
      </c>
      <c r="AC66" s="1377" t="s">
        <v>10</v>
      </c>
      <c r="AD66" s="1574">
        <f>'別紙様式2-3（６月以降分）'!AD66</f>
        <v>3</v>
      </c>
      <c r="AE66" s="1377" t="s">
        <v>2172</v>
      </c>
      <c r="AF66" s="1377" t="s">
        <v>24</v>
      </c>
      <c r="AG66" s="1377">
        <f>IF(X66&gt;=1,(AB66*12+AD66)-(X66*12+Z66)+1,"")</f>
        <v>10</v>
      </c>
      <c r="AH66" s="1379" t="s">
        <v>38</v>
      </c>
      <c r="AI66" s="1381"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315"/>
      <c r="B67" s="1301"/>
      <c r="C67" s="1302"/>
      <c r="D67" s="1302"/>
      <c r="E67" s="1302"/>
      <c r="F67" s="1303"/>
      <c r="G67" s="1268"/>
      <c r="H67" s="1268"/>
      <c r="I67" s="1268"/>
      <c r="J67" s="1443"/>
      <c r="K67" s="1268"/>
      <c r="L67" s="1454"/>
      <c r="M67" s="1456"/>
      <c r="N67" s="1399" t="str">
        <f>IF('別紙様式2-2（４・５月分）'!Q54="","",'別紙様式2-2（４・５月分）'!Q54)</f>
        <v/>
      </c>
      <c r="O67" s="1420"/>
      <c r="P67" s="1426"/>
      <c r="Q67" s="1427"/>
      <c r="R67" s="1428"/>
      <c r="S67" s="1430"/>
      <c r="T67" s="1432"/>
      <c r="U67" s="1577"/>
      <c r="V67" s="1436"/>
      <c r="W67" s="1438"/>
      <c r="X67" s="1575"/>
      <c r="Y67" s="1378"/>
      <c r="Z67" s="1575"/>
      <c r="AA67" s="1378"/>
      <c r="AB67" s="1575"/>
      <c r="AC67" s="1378"/>
      <c r="AD67" s="1575"/>
      <c r="AE67" s="1378"/>
      <c r="AF67" s="1378"/>
      <c r="AG67" s="1378"/>
      <c r="AH67" s="1380"/>
      <c r="AI67" s="1382"/>
      <c r="AJ67" s="1569"/>
      <c r="AK67" s="1571"/>
      <c r="AL67" s="1573"/>
      <c r="AM67" s="1564"/>
      <c r="AN67" s="1566"/>
      <c r="AO67" s="1394"/>
      <c r="AP67" s="1567"/>
      <c r="AQ67" s="1394"/>
      <c r="AR67" s="1536"/>
      <c r="AS67" s="1539"/>
      <c r="AT67" s="1537" t="str">
        <f t="shared" ref="AT67" si="46">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1"/>
      <c r="C68" s="1302"/>
      <c r="D68" s="1302"/>
      <c r="E68" s="1302"/>
      <c r="F68" s="1303"/>
      <c r="G68" s="1268"/>
      <c r="H68" s="1268"/>
      <c r="I68" s="1268"/>
      <c r="J68" s="1443"/>
      <c r="K68" s="1268"/>
      <c r="L68" s="1454"/>
      <c r="M68" s="1456"/>
      <c r="N68" s="1400"/>
      <c r="O68" s="1421"/>
      <c r="P68" s="1401" t="s">
        <v>2179</v>
      </c>
      <c r="Q68" s="1460" t="str">
        <f>IFERROR(VLOOKUP('別紙様式2-2（４・５月分）'!AR53,【参考】数式用!$AT$5:$AV$22,3,FALSE),"")</f>
        <v/>
      </c>
      <c r="R68" s="1405" t="s">
        <v>2190</v>
      </c>
      <c r="S68" s="1447" t="str">
        <f>IFERROR(VLOOKUP(K66,【参考】数式用!$A$5:$AB$27,MATCH(Q68,【参考】数式用!$B$4:$AB$4,0)+1,0),"")</f>
        <v/>
      </c>
      <c r="T68" s="1409" t="s">
        <v>2267</v>
      </c>
      <c r="U68" s="1561"/>
      <c r="V68" s="1413" t="str">
        <f>IFERROR(VLOOKUP(K66,【参考】数式用!$A$5:$AB$27,MATCH(U68,【参考】数式用!$B$4:$AB$4,0)+1,0),"")</f>
        <v/>
      </c>
      <c r="W68" s="1415" t="s">
        <v>19</v>
      </c>
      <c r="X68" s="1559"/>
      <c r="Y68" s="1397" t="s">
        <v>10</v>
      </c>
      <c r="Z68" s="1559"/>
      <c r="AA68" s="1397" t="s">
        <v>45</v>
      </c>
      <c r="AB68" s="1559"/>
      <c r="AC68" s="1397" t="s">
        <v>10</v>
      </c>
      <c r="AD68" s="1559"/>
      <c r="AE68" s="1397" t="s">
        <v>2172</v>
      </c>
      <c r="AF68" s="1397" t="s">
        <v>24</v>
      </c>
      <c r="AG68" s="1397" t="str">
        <f>IF(X68&gt;=1,(AB68*12+AD68)-(X68*12+Z68)+1,"")</f>
        <v/>
      </c>
      <c r="AH68" s="1365" t="s">
        <v>38</v>
      </c>
      <c r="AI68" s="1489" t="str">
        <f t="shared" ref="AI68" si="47">IFERROR(ROUNDDOWN(ROUND(L66*V68,0)*M66,0)*AG68,"")</f>
        <v/>
      </c>
      <c r="AJ68" s="1553" t="str">
        <f>IFERROR(ROUNDDOWN(ROUND((L66*(V68-AX66)),0)*M66,0)*AG68,"")</f>
        <v/>
      </c>
      <c r="AK68" s="1371"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IF(AND(AB66&lt;&gt;7,AD66&lt;&gt;3),"V列に色付け","")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316"/>
      <c r="B69" s="1439"/>
      <c r="C69" s="1440"/>
      <c r="D69" s="1440"/>
      <c r="E69" s="1440"/>
      <c r="F69" s="1441"/>
      <c r="G69" s="1269"/>
      <c r="H69" s="1269"/>
      <c r="I69" s="1269"/>
      <c r="J69" s="1444"/>
      <c r="K69" s="1269"/>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66"/>
      <c r="AI69" s="1490"/>
      <c r="AJ69" s="1554"/>
      <c r="AK69" s="1372"/>
      <c r="AL69" s="1556"/>
      <c r="AM69" s="1558"/>
      <c r="AN69" s="1550"/>
      <c r="AO69" s="1530"/>
      <c r="AP69" s="1552"/>
      <c r="AQ69" s="1530"/>
      <c r="AR69" s="1532"/>
      <c r="AS69" s="153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314">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42" t="str">
        <f>IF(基本情報入力シート!X68="","",基本情報入力シート!X68)</f>
        <v/>
      </c>
      <c r="K70" s="1267"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2258</v>
      </c>
      <c r="U70" s="1576" t="str">
        <f>IF('別紙様式2-3（６月以降分）'!U70="","",'別紙様式2-3（６月以降分）'!U70)</f>
        <v/>
      </c>
      <c r="V70" s="1435" t="str">
        <f>IFERROR(VLOOKUP(K70,【参考】数式用!$A$5:$AB$27,MATCH(U70,【参考】数式用!$B$4:$AB$4,0)+1,0),"")</f>
        <v/>
      </c>
      <c r="W70" s="1437" t="s">
        <v>19</v>
      </c>
      <c r="X70" s="1574">
        <f>'別紙様式2-3（６月以降分）'!X70</f>
        <v>6</v>
      </c>
      <c r="Y70" s="1377" t="s">
        <v>10</v>
      </c>
      <c r="Z70" s="1574">
        <f>'別紙様式2-3（６月以降分）'!Z70</f>
        <v>6</v>
      </c>
      <c r="AA70" s="1377" t="s">
        <v>45</v>
      </c>
      <c r="AB70" s="1574">
        <f>'別紙様式2-3（６月以降分）'!AB70</f>
        <v>7</v>
      </c>
      <c r="AC70" s="1377" t="s">
        <v>10</v>
      </c>
      <c r="AD70" s="1574">
        <f>'別紙様式2-3（６月以降分）'!AD70</f>
        <v>3</v>
      </c>
      <c r="AE70" s="1377" t="s">
        <v>2172</v>
      </c>
      <c r="AF70" s="1377" t="s">
        <v>24</v>
      </c>
      <c r="AG70" s="1377">
        <f>IF(X70&gt;=1,(AB70*12+AD70)-(X70*12+Z70)+1,"")</f>
        <v>10</v>
      </c>
      <c r="AH70" s="1379" t="s">
        <v>38</v>
      </c>
      <c r="AI70" s="1381"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315"/>
      <c r="B71" s="1301"/>
      <c r="C71" s="1302"/>
      <c r="D71" s="1302"/>
      <c r="E71" s="1302"/>
      <c r="F71" s="1303"/>
      <c r="G71" s="1268"/>
      <c r="H71" s="1268"/>
      <c r="I71" s="1268"/>
      <c r="J71" s="1443"/>
      <c r="K71" s="1268"/>
      <c r="L71" s="1454"/>
      <c r="M71" s="1463"/>
      <c r="N71" s="1399" t="str">
        <f>IF('別紙様式2-2（４・５月分）'!Q57="","",'別紙様式2-2（４・５月分）'!Q57)</f>
        <v/>
      </c>
      <c r="O71" s="1420"/>
      <c r="P71" s="1426"/>
      <c r="Q71" s="1427"/>
      <c r="R71" s="1428"/>
      <c r="S71" s="1430"/>
      <c r="T71" s="1432"/>
      <c r="U71" s="1577"/>
      <c r="V71" s="1436"/>
      <c r="W71" s="1438"/>
      <c r="X71" s="1575"/>
      <c r="Y71" s="1378"/>
      <c r="Z71" s="1575"/>
      <c r="AA71" s="1378"/>
      <c r="AB71" s="1575"/>
      <c r="AC71" s="1378"/>
      <c r="AD71" s="1575"/>
      <c r="AE71" s="1378"/>
      <c r="AF71" s="1378"/>
      <c r="AG71" s="1378"/>
      <c r="AH71" s="1380"/>
      <c r="AI71" s="1382"/>
      <c r="AJ71" s="1569"/>
      <c r="AK71" s="1571"/>
      <c r="AL71" s="1573"/>
      <c r="AM71" s="1564"/>
      <c r="AN71" s="1566"/>
      <c r="AO71" s="1394"/>
      <c r="AP71" s="1567"/>
      <c r="AQ71" s="1394"/>
      <c r="AR71" s="1536"/>
      <c r="AS71" s="1539"/>
      <c r="AT71" s="1537" t="str">
        <f t="shared" ref="AT71" si="50">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1"/>
      <c r="C72" s="1302"/>
      <c r="D72" s="1302"/>
      <c r="E72" s="1302"/>
      <c r="F72" s="1303"/>
      <c r="G72" s="1268"/>
      <c r="H72" s="1268"/>
      <c r="I72" s="1268"/>
      <c r="J72" s="1443"/>
      <c r="K72" s="1268"/>
      <c r="L72" s="1454"/>
      <c r="M72" s="1463"/>
      <c r="N72" s="1400"/>
      <c r="O72" s="1421"/>
      <c r="P72" s="1401" t="s">
        <v>2179</v>
      </c>
      <c r="Q72" s="1460" t="str">
        <f>IFERROR(VLOOKUP('別紙様式2-2（４・５月分）'!AR56,【参考】数式用!$AT$5:$AV$22,3,FALSE),"")</f>
        <v/>
      </c>
      <c r="R72" s="1405" t="s">
        <v>2190</v>
      </c>
      <c r="S72" s="1407" t="str">
        <f>IFERROR(VLOOKUP(K70,【参考】数式用!$A$5:$AB$27,MATCH(Q72,【参考】数式用!$B$4:$AB$4,0)+1,0),"")</f>
        <v/>
      </c>
      <c r="T72" s="1409" t="s">
        <v>2267</v>
      </c>
      <c r="U72" s="1561"/>
      <c r="V72" s="1413" t="str">
        <f>IFERROR(VLOOKUP(K70,【参考】数式用!$A$5:$AB$27,MATCH(U72,【参考】数式用!$B$4:$AB$4,0)+1,0),"")</f>
        <v/>
      </c>
      <c r="W72" s="1415" t="s">
        <v>19</v>
      </c>
      <c r="X72" s="1559"/>
      <c r="Y72" s="1397" t="s">
        <v>10</v>
      </c>
      <c r="Z72" s="1559"/>
      <c r="AA72" s="1397" t="s">
        <v>45</v>
      </c>
      <c r="AB72" s="1559"/>
      <c r="AC72" s="1397" t="s">
        <v>10</v>
      </c>
      <c r="AD72" s="1559"/>
      <c r="AE72" s="1397" t="s">
        <v>2172</v>
      </c>
      <c r="AF72" s="1397" t="s">
        <v>24</v>
      </c>
      <c r="AG72" s="1397" t="str">
        <f>IF(X72&gt;=1,(AB72*12+AD72)-(X72*12+Z72)+1,"")</f>
        <v/>
      </c>
      <c r="AH72" s="1365" t="s">
        <v>38</v>
      </c>
      <c r="AI72" s="1489" t="str">
        <f t="shared" ref="AI72" si="51">IFERROR(ROUNDDOWN(ROUND(L70*V72,0)*M70,0)*AG72,"")</f>
        <v/>
      </c>
      <c r="AJ72" s="1553" t="str">
        <f>IFERROR(ROUNDDOWN(ROUND((L70*(V72-AX70)),0)*M70,0)*AG72,"")</f>
        <v/>
      </c>
      <c r="AK72" s="1371"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IF(AND(AB70&lt;&gt;7,AD70&lt;&gt;3),"V列に色付け","")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316"/>
      <c r="B73" s="1439"/>
      <c r="C73" s="1440"/>
      <c r="D73" s="1440"/>
      <c r="E73" s="1440"/>
      <c r="F73" s="1441"/>
      <c r="G73" s="1269"/>
      <c r="H73" s="1269"/>
      <c r="I73" s="1269"/>
      <c r="J73" s="1444"/>
      <c r="K73" s="1269"/>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66"/>
      <c r="AI73" s="1490"/>
      <c r="AJ73" s="1554"/>
      <c r="AK73" s="1372"/>
      <c r="AL73" s="1556"/>
      <c r="AM73" s="1558"/>
      <c r="AN73" s="1550"/>
      <c r="AO73" s="1530"/>
      <c r="AP73" s="1552"/>
      <c r="AQ73" s="1530"/>
      <c r="AR73" s="1532"/>
      <c r="AS73" s="153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43"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2258</v>
      </c>
      <c r="U74" s="1576" t="str">
        <f>IF('別紙様式2-3（６月以降分）'!U74="","",'別紙様式2-3（６月以降分）'!U74)</f>
        <v/>
      </c>
      <c r="V74" s="1435" t="str">
        <f>IFERROR(VLOOKUP(K74,【参考】数式用!$A$5:$AB$27,MATCH(U74,【参考】数式用!$B$4:$AB$4,0)+1,0),"")</f>
        <v/>
      </c>
      <c r="W74" s="1437" t="s">
        <v>19</v>
      </c>
      <c r="X74" s="1574">
        <f>'別紙様式2-3（６月以降分）'!X74</f>
        <v>6</v>
      </c>
      <c r="Y74" s="1377" t="s">
        <v>10</v>
      </c>
      <c r="Z74" s="1574">
        <f>'別紙様式2-3（６月以降分）'!Z74</f>
        <v>6</v>
      </c>
      <c r="AA74" s="1377" t="s">
        <v>45</v>
      </c>
      <c r="AB74" s="1574">
        <f>'別紙様式2-3（６月以降分）'!AB74</f>
        <v>7</v>
      </c>
      <c r="AC74" s="1377" t="s">
        <v>10</v>
      </c>
      <c r="AD74" s="1574">
        <f>'別紙様式2-3（６月以降分）'!AD74</f>
        <v>3</v>
      </c>
      <c r="AE74" s="1377" t="s">
        <v>2172</v>
      </c>
      <c r="AF74" s="1377" t="s">
        <v>24</v>
      </c>
      <c r="AG74" s="1377">
        <f>IF(X74&gt;=1,(AB74*12+AD74)-(X74*12+Z74)+1,"")</f>
        <v>10</v>
      </c>
      <c r="AH74" s="1379" t="s">
        <v>38</v>
      </c>
      <c r="AI74" s="1381"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315"/>
      <c r="B75" s="1301"/>
      <c r="C75" s="1302"/>
      <c r="D75" s="1302"/>
      <c r="E75" s="1302"/>
      <c r="F75" s="1303"/>
      <c r="G75" s="1268"/>
      <c r="H75" s="1268"/>
      <c r="I75" s="1268"/>
      <c r="J75" s="1443"/>
      <c r="K75" s="1268"/>
      <c r="L75" s="1454"/>
      <c r="M75" s="1456"/>
      <c r="N75" s="1399" t="str">
        <f>IF('別紙様式2-2（４・５月分）'!Q60="","",'別紙様式2-2（４・５月分）'!Q60)</f>
        <v/>
      </c>
      <c r="O75" s="1420"/>
      <c r="P75" s="1426"/>
      <c r="Q75" s="1427"/>
      <c r="R75" s="1428"/>
      <c r="S75" s="1430"/>
      <c r="T75" s="1432"/>
      <c r="U75" s="1577"/>
      <c r="V75" s="1436"/>
      <c r="W75" s="1438"/>
      <c r="X75" s="1575"/>
      <c r="Y75" s="1378"/>
      <c r="Z75" s="1575"/>
      <c r="AA75" s="1378"/>
      <c r="AB75" s="1575"/>
      <c r="AC75" s="1378"/>
      <c r="AD75" s="1575"/>
      <c r="AE75" s="1378"/>
      <c r="AF75" s="1378"/>
      <c r="AG75" s="1378"/>
      <c r="AH75" s="1380"/>
      <c r="AI75" s="1382"/>
      <c r="AJ75" s="1569"/>
      <c r="AK75" s="1571"/>
      <c r="AL75" s="1573"/>
      <c r="AM75" s="1564"/>
      <c r="AN75" s="1566"/>
      <c r="AO75" s="1394"/>
      <c r="AP75" s="1567"/>
      <c r="AQ75" s="1394"/>
      <c r="AR75" s="1536"/>
      <c r="AS75" s="1539"/>
      <c r="AT75" s="1537" t="str">
        <f t="shared" ref="AT75" si="54">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1"/>
      <c r="C76" s="1302"/>
      <c r="D76" s="1302"/>
      <c r="E76" s="1302"/>
      <c r="F76" s="1303"/>
      <c r="G76" s="1268"/>
      <c r="H76" s="1268"/>
      <c r="I76" s="1268"/>
      <c r="J76" s="1443"/>
      <c r="K76" s="1268"/>
      <c r="L76" s="1454"/>
      <c r="M76" s="1456"/>
      <c r="N76" s="1400"/>
      <c r="O76" s="1421"/>
      <c r="P76" s="1401" t="s">
        <v>2179</v>
      </c>
      <c r="Q76" s="1460" t="str">
        <f>IFERROR(VLOOKUP('別紙様式2-2（４・５月分）'!AR59,【参考】数式用!$AT$5:$AV$22,3,FALSE),"")</f>
        <v/>
      </c>
      <c r="R76" s="1405" t="s">
        <v>2190</v>
      </c>
      <c r="S76" s="1447" t="str">
        <f>IFERROR(VLOOKUP(K74,【参考】数式用!$A$5:$AB$27,MATCH(Q76,【参考】数式用!$B$4:$AB$4,0)+1,0),"")</f>
        <v/>
      </c>
      <c r="T76" s="1409" t="s">
        <v>2267</v>
      </c>
      <c r="U76" s="1561"/>
      <c r="V76" s="1413" t="str">
        <f>IFERROR(VLOOKUP(K74,【参考】数式用!$A$5:$AB$27,MATCH(U76,【参考】数式用!$B$4:$AB$4,0)+1,0),"")</f>
        <v/>
      </c>
      <c r="W76" s="1415" t="s">
        <v>19</v>
      </c>
      <c r="X76" s="1559"/>
      <c r="Y76" s="1397" t="s">
        <v>10</v>
      </c>
      <c r="Z76" s="1559"/>
      <c r="AA76" s="1397" t="s">
        <v>45</v>
      </c>
      <c r="AB76" s="1559"/>
      <c r="AC76" s="1397" t="s">
        <v>10</v>
      </c>
      <c r="AD76" s="1559"/>
      <c r="AE76" s="1397" t="s">
        <v>2172</v>
      </c>
      <c r="AF76" s="1397" t="s">
        <v>24</v>
      </c>
      <c r="AG76" s="1397" t="str">
        <f>IF(X76&gt;=1,(AB76*12+AD76)-(X76*12+Z76)+1,"")</f>
        <v/>
      </c>
      <c r="AH76" s="1365" t="s">
        <v>38</v>
      </c>
      <c r="AI76" s="1489" t="str">
        <f t="shared" ref="AI76" si="55">IFERROR(ROUNDDOWN(ROUND(L74*V76,0)*M74,0)*AG76,"")</f>
        <v/>
      </c>
      <c r="AJ76" s="1553" t="str">
        <f>IFERROR(ROUNDDOWN(ROUND((L74*(V76-AX74)),0)*M74,0)*AG76,"")</f>
        <v/>
      </c>
      <c r="AK76" s="1371"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IF(AND(AB74&lt;&gt;7,AD74&lt;&gt;3),"V列に色付け","")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316"/>
      <c r="B77" s="1439"/>
      <c r="C77" s="1440"/>
      <c r="D77" s="1440"/>
      <c r="E77" s="1440"/>
      <c r="F77" s="1441"/>
      <c r="G77" s="1269"/>
      <c r="H77" s="1269"/>
      <c r="I77" s="1269"/>
      <c r="J77" s="1444"/>
      <c r="K77" s="1269"/>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66"/>
      <c r="AI77" s="1490"/>
      <c r="AJ77" s="1554"/>
      <c r="AK77" s="1372"/>
      <c r="AL77" s="1556"/>
      <c r="AM77" s="1558"/>
      <c r="AN77" s="1550"/>
      <c r="AO77" s="1530"/>
      <c r="AP77" s="1552"/>
      <c r="AQ77" s="1530"/>
      <c r="AR77" s="1532"/>
      <c r="AS77" s="153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314">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42" t="str">
        <f>IF(基本情報入力シート!X70="","",基本情報入力シート!X70)</f>
        <v/>
      </c>
      <c r="K78" s="1267"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2258</v>
      </c>
      <c r="U78" s="1576" t="str">
        <f>IF('別紙様式2-3（６月以降分）'!U78="","",'別紙様式2-3（６月以降分）'!U78)</f>
        <v/>
      </c>
      <c r="V78" s="1435" t="str">
        <f>IFERROR(VLOOKUP(K78,【参考】数式用!$A$5:$AB$27,MATCH(U78,【参考】数式用!$B$4:$AB$4,0)+1,0),"")</f>
        <v/>
      </c>
      <c r="W78" s="1437" t="s">
        <v>19</v>
      </c>
      <c r="X78" s="1574">
        <f>'別紙様式2-3（６月以降分）'!X78</f>
        <v>6</v>
      </c>
      <c r="Y78" s="1377" t="s">
        <v>10</v>
      </c>
      <c r="Z78" s="1574">
        <f>'別紙様式2-3（６月以降分）'!Z78</f>
        <v>6</v>
      </c>
      <c r="AA78" s="1377" t="s">
        <v>45</v>
      </c>
      <c r="AB78" s="1574">
        <f>'別紙様式2-3（６月以降分）'!AB78</f>
        <v>7</v>
      </c>
      <c r="AC78" s="1377" t="s">
        <v>10</v>
      </c>
      <c r="AD78" s="1574">
        <f>'別紙様式2-3（６月以降分）'!AD78</f>
        <v>3</v>
      </c>
      <c r="AE78" s="1377" t="s">
        <v>2172</v>
      </c>
      <c r="AF78" s="1377" t="s">
        <v>24</v>
      </c>
      <c r="AG78" s="1377">
        <f>IF(X78&gt;=1,(AB78*12+AD78)-(X78*12+Z78)+1,"")</f>
        <v>10</v>
      </c>
      <c r="AH78" s="1379" t="s">
        <v>38</v>
      </c>
      <c r="AI78" s="1381"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315"/>
      <c r="B79" s="1301"/>
      <c r="C79" s="1302"/>
      <c r="D79" s="1302"/>
      <c r="E79" s="1302"/>
      <c r="F79" s="1303"/>
      <c r="G79" s="1268"/>
      <c r="H79" s="1268"/>
      <c r="I79" s="1268"/>
      <c r="J79" s="1443"/>
      <c r="K79" s="1268"/>
      <c r="L79" s="1454"/>
      <c r="M79" s="1463"/>
      <c r="N79" s="1399" t="str">
        <f>IF('別紙様式2-2（４・５月分）'!Q63="","",'別紙様式2-2（４・５月分）'!Q63)</f>
        <v/>
      </c>
      <c r="O79" s="1420"/>
      <c r="P79" s="1426"/>
      <c r="Q79" s="1427"/>
      <c r="R79" s="1428"/>
      <c r="S79" s="1430"/>
      <c r="T79" s="1432"/>
      <c r="U79" s="1577"/>
      <c r="V79" s="1436"/>
      <c r="W79" s="1438"/>
      <c r="X79" s="1575"/>
      <c r="Y79" s="1378"/>
      <c r="Z79" s="1575"/>
      <c r="AA79" s="1378"/>
      <c r="AB79" s="1575"/>
      <c r="AC79" s="1378"/>
      <c r="AD79" s="1575"/>
      <c r="AE79" s="1378"/>
      <c r="AF79" s="1378"/>
      <c r="AG79" s="1378"/>
      <c r="AH79" s="1380"/>
      <c r="AI79" s="1382"/>
      <c r="AJ79" s="1569"/>
      <c r="AK79" s="1571"/>
      <c r="AL79" s="1573"/>
      <c r="AM79" s="1564"/>
      <c r="AN79" s="1566"/>
      <c r="AO79" s="1394"/>
      <c r="AP79" s="1567"/>
      <c r="AQ79" s="1394"/>
      <c r="AR79" s="1536"/>
      <c r="AS79" s="1539"/>
      <c r="AT79" s="1537" t="str">
        <f t="shared" ref="AT79" si="58">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1"/>
      <c r="C80" s="1302"/>
      <c r="D80" s="1302"/>
      <c r="E80" s="1302"/>
      <c r="F80" s="1303"/>
      <c r="G80" s="1268"/>
      <c r="H80" s="1268"/>
      <c r="I80" s="1268"/>
      <c r="J80" s="1443"/>
      <c r="K80" s="1268"/>
      <c r="L80" s="1454"/>
      <c r="M80" s="1463"/>
      <c r="N80" s="1400"/>
      <c r="O80" s="1421"/>
      <c r="P80" s="1401" t="s">
        <v>2179</v>
      </c>
      <c r="Q80" s="1460" t="str">
        <f>IFERROR(VLOOKUP('別紙様式2-2（４・５月分）'!AR62,【参考】数式用!$AT$5:$AV$22,3,FALSE),"")</f>
        <v/>
      </c>
      <c r="R80" s="1405" t="s">
        <v>2190</v>
      </c>
      <c r="S80" s="1407" t="str">
        <f>IFERROR(VLOOKUP(K78,【参考】数式用!$A$5:$AB$27,MATCH(Q80,【参考】数式用!$B$4:$AB$4,0)+1,0),"")</f>
        <v/>
      </c>
      <c r="T80" s="1409" t="s">
        <v>2267</v>
      </c>
      <c r="U80" s="1561"/>
      <c r="V80" s="1413" t="str">
        <f>IFERROR(VLOOKUP(K78,【参考】数式用!$A$5:$AB$27,MATCH(U80,【参考】数式用!$B$4:$AB$4,0)+1,0),"")</f>
        <v/>
      </c>
      <c r="W80" s="1415" t="s">
        <v>19</v>
      </c>
      <c r="X80" s="1559"/>
      <c r="Y80" s="1397" t="s">
        <v>10</v>
      </c>
      <c r="Z80" s="1559"/>
      <c r="AA80" s="1397" t="s">
        <v>45</v>
      </c>
      <c r="AB80" s="1559"/>
      <c r="AC80" s="1397" t="s">
        <v>10</v>
      </c>
      <c r="AD80" s="1559"/>
      <c r="AE80" s="1397" t="s">
        <v>2172</v>
      </c>
      <c r="AF80" s="1397" t="s">
        <v>24</v>
      </c>
      <c r="AG80" s="1397" t="str">
        <f>IF(X80&gt;=1,(AB80*12+AD80)-(X80*12+Z80)+1,"")</f>
        <v/>
      </c>
      <c r="AH80" s="1365" t="s">
        <v>38</v>
      </c>
      <c r="AI80" s="1489" t="str">
        <f t="shared" ref="AI80" si="59">IFERROR(ROUNDDOWN(ROUND(L78*V80,0)*M78,0)*AG80,"")</f>
        <v/>
      </c>
      <c r="AJ80" s="1553" t="str">
        <f>IFERROR(ROUNDDOWN(ROUND((L78*(V80-AX78)),0)*M78,0)*AG80,"")</f>
        <v/>
      </c>
      <c r="AK80" s="1371"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IF(AND(AB78&lt;&gt;7,AD78&lt;&gt;3),"V列に色付け","")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316"/>
      <c r="B81" s="1439"/>
      <c r="C81" s="1440"/>
      <c r="D81" s="1440"/>
      <c r="E81" s="1440"/>
      <c r="F81" s="1441"/>
      <c r="G81" s="1269"/>
      <c r="H81" s="1269"/>
      <c r="I81" s="1269"/>
      <c r="J81" s="1444"/>
      <c r="K81" s="1269"/>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66"/>
      <c r="AI81" s="1490"/>
      <c r="AJ81" s="1554"/>
      <c r="AK81" s="1372"/>
      <c r="AL81" s="1556"/>
      <c r="AM81" s="1558"/>
      <c r="AN81" s="1550"/>
      <c r="AO81" s="1530"/>
      <c r="AP81" s="1552"/>
      <c r="AQ81" s="1530"/>
      <c r="AR81" s="1532"/>
      <c r="AS81" s="153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43"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2258</v>
      </c>
      <c r="U82" s="1576" t="str">
        <f>IF('別紙様式2-3（６月以降分）'!U82="","",'別紙様式2-3（６月以降分）'!U82)</f>
        <v/>
      </c>
      <c r="V82" s="1435" t="str">
        <f>IFERROR(VLOOKUP(K82,【参考】数式用!$A$5:$AB$27,MATCH(U82,【参考】数式用!$B$4:$AB$4,0)+1,0),"")</f>
        <v/>
      </c>
      <c r="W82" s="1437" t="s">
        <v>19</v>
      </c>
      <c r="X82" s="1574">
        <f>'別紙様式2-3（６月以降分）'!X82</f>
        <v>6</v>
      </c>
      <c r="Y82" s="1377" t="s">
        <v>10</v>
      </c>
      <c r="Z82" s="1574">
        <f>'別紙様式2-3（６月以降分）'!Z82</f>
        <v>6</v>
      </c>
      <c r="AA82" s="1377" t="s">
        <v>45</v>
      </c>
      <c r="AB82" s="1574">
        <f>'別紙様式2-3（６月以降分）'!AB82</f>
        <v>7</v>
      </c>
      <c r="AC82" s="1377" t="s">
        <v>10</v>
      </c>
      <c r="AD82" s="1574">
        <f>'別紙様式2-3（６月以降分）'!AD82</f>
        <v>3</v>
      </c>
      <c r="AE82" s="1377" t="s">
        <v>2172</v>
      </c>
      <c r="AF82" s="1377" t="s">
        <v>24</v>
      </c>
      <c r="AG82" s="1377">
        <f>IF(X82&gt;=1,(AB82*12+AD82)-(X82*12+Z82)+1,"")</f>
        <v>10</v>
      </c>
      <c r="AH82" s="1379" t="s">
        <v>38</v>
      </c>
      <c r="AI82" s="1381"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315"/>
      <c r="B83" s="1301"/>
      <c r="C83" s="1302"/>
      <c r="D83" s="1302"/>
      <c r="E83" s="1302"/>
      <c r="F83" s="1303"/>
      <c r="G83" s="1268"/>
      <c r="H83" s="1268"/>
      <c r="I83" s="1268"/>
      <c r="J83" s="1443"/>
      <c r="K83" s="1268"/>
      <c r="L83" s="1454"/>
      <c r="M83" s="1456"/>
      <c r="N83" s="1399" t="str">
        <f>IF('別紙様式2-2（４・５月分）'!Q66="","",'別紙様式2-2（４・５月分）'!Q66)</f>
        <v/>
      </c>
      <c r="O83" s="1420"/>
      <c r="P83" s="1426"/>
      <c r="Q83" s="1427"/>
      <c r="R83" s="1428"/>
      <c r="S83" s="1430"/>
      <c r="T83" s="1432"/>
      <c r="U83" s="1577"/>
      <c r="V83" s="1436"/>
      <c r="W83" s="1438"/>
      <c r="X83" s="1575"/>
      <c r="Y83" s="1378"/>
      <c r="Z83" s="1575"/>
      <c r="AA83" s="1378"/>
      <c r="AB83" s="1575"/>
      <c r="AC83" s="1378"/>
      <c r="AD83" s="1575"/>
      <c r="AE83" s="1378"/>
      <c r="AF83" s="1378"/>
      <c r="AG83" s="1378"/>
      <c r="AH83" s="1380"/>
      <c r="AI83" s="1382"/>
      <c r="AJ83" s="1569"/>
      <c r="AK83" s="1571"/>
      <c r="AL83" s="1573"/>
      <c r="AM83" s="1564"/>
      <c r="AN83" s="1566"/>
      <c r="AO83" s="1394"/>
      <c r="AP83" s="1567"/>
      <c r="AQ83" s="1394"/>
      <c r="AR83" s="1536"/>
      <c r="AS83" s="1539"/>
      <c r="AT83" s="1537" t="str">
        <f t="shared" ref="AT83" si="62">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1"/>
      <c r="C84" s="1302"/>
      <c r="D84" s="1302"/>
      <c r="E84" s="1302"/>
      <c r="F84" s="1303"/>
      <c r="G84" s="1268"/>
      <c r="H84" s="1268"/>
      <c r="I84" s="1268"/>
      <c r="J84" s="1443"/>
      <c r="K84" s="1268"/>
      <c r="L84" s="1454"/>
      <c r="M84" s="1456"/>
      <c r="N84" s="1400"/>
      <c r="O84" s="1421"/>
      <c r="P84" s="1401" t="s">
        <v>2179</v>
      </c>
      <c r="Q84" s="1460" t="str">
        <f>IFERROR(VLOOKUP('別紙様式2-2（４・５月分）'!AR65,【参考】数式用!$AT$5:$AV$22,3,FALSE),"")</f>
        <v/>
      </c>
      <c r="R84" s="1405" t="s">
        <v>2190</v>
      </c>
      <c r="S84" s="1447" t="str">
        <f>IFERROR(VLOOKUP(K82,【参考】数式用!$A$5:$AB$27,MATCH(Q84,【参考】数式用!$B$4:$AB$4,0)+1,0),"")</f>
        <v/>
      </c>
      <c r="T84" s="1409" t="s">
        <v>2267</v>
      </c>
      <c r="U84" s="1561"/>
      <c r="V84" s="1413" t="str">
        <f>IFERROR(VLOOKUP(K82,【参考】数式用!$A$5:$AB$27,MATCH(U84,【参考】数式用!$B$4:$AB$4,0)+1,0),"")</f>
        <v/>
      </c>
      <c r="W84" s="1415" t="s">
        <v>19</v>
      </c>
      <c r="X84" s="1559"/>
      <c r="Y84" s="1397" t="s">
        <v>10</v>
      </c>
      <c r="Z84" s="1559"/>
      <c r="AA84" s="1397" t="s">
        <v>45</v>
      </c>
      <c r="AB84" s="1559"/>
      <c r="AC84" s="1397" t="s">
        <v>10</v>
      </c>
      <c r="AD84" s="1559"/>
      <c r="AE84" s="1397" t="s">
        <v>2172</v>
      </c>
      <c r="AF84" s="1397" t="s">
        <v>24</v>
      </c>
      <c r="AG84" s="1397" t="str">
        <f>IF(X84&gt;=1,(AB84*12+AD84)-(X84*12+Z84)+1,"")</f>
        <v/>
      </c>
      <c r="AH84" s="1365" t="s">
        <v>38</v>
      </c>
      <c r="AI84" s="1489" t="str">
        <f t="shared" ref="AI84" si="63">IFERROR(ROUNDDOWN(ROUND(L82*V84,0)*M82,0)*AG84,"")</f>
        <v/>
      </c>
      <c r="AJ84" s="1553" t="str">
        <f>IFERROR(ROUNDDOWN(ROUND((L82*(V84-AX82)),0)*M82,0)*AG84,"")</f>
        <v/>
      </c>
      <c r="AK84" s="1371"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IF(AND(AB82&lt;&gt;7,AD82&lt;&gt;3),"V列に色付け","")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316"/>
      <c r="B85" s="1439"/>
      <c r="C85" s="1440"/>
      <c r="D85" s="1440"/>
      <c r="E85" s="1440"/>
      <c r="F85" s="1441"/>
      <c r="G85" s="1269"/>
      <c r="H85" s="1269"/>
      <c r="I85" s="1269"/>
      <c r="J85" s="1444"/>
      <c r="K85" s="1269"/>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66"/>
      <c r="AI85" s="1490"/>
      <c r="AJ85" s="1554"/>
      <c r="AK85" s="1372"/>
      <c r="AL85" s="1556"/>
      <c r="AM85" s="1558"/>
      <c r="AN85" s="1550"/>
      <c r="AO85" s="1530"/>
      <c r="AP85" s="1552"/>
      <c r="AQ85" s="1530"/>
      <c r="AR85" s="1532"/>
      <c r="AS85" s="153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314">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42" t="str">
        <f>IF(基本情報入力シート!X72="","",基本情報入力シート!X72)</f>
        <v/>
      </c>
      <c r="K86" s="1267"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2258</v>
      </c>
      <c r="U86" s="1576" t="str">
        <f>IF('別紙様式2-3（６月以降分）'!U86="","",'別紙様式2-3（６月以降分）'!U86)</f>
        <v/>
      </c>
      <c r="V86" s="1435" t="str">
        <f>IFERROR(VLOOKUP(K86,【参考】数式用!$A$5:$AB$27,MATCH(U86,【参考】数式用!$B$4:$AB$4,0)+1,0),"")</f>
        <v/>
      </c>
      <c r="W86" s="1437" t="s">
        <v>19</v>
      </c>
      <c r="X86" s="1574">
        <f>'別紙様式2-3（６月以降分）'!X86</f>
        <v>6</v>
      </c>
      <c r="Y86" s="1377" t="s">
        <v>10</v>
      </c>
      <c r="Z86" s="1574">
        <f>'別紙様式2-3（６月以降分）'!Z86</f>
        <v>6</v>
      </c>
      <c r="AA86" s="1377" t="s">
        <v>45</v>
      </c>
      <c r="AB86" s="1574">
        <f>'別紙様式2-3（６月以降分）'!AB86</f>
        <v>7</v>
      </c>
      <c r="AC86" s="1377" t="s">
        <v>10</v>
      </c>
      <c r="AD86" s="1574">
        <f>'別紙様式2-3（６月以降分）'!AD86</f>
        <v>3</v>
      </c>
      <c r="AE86" s="1377" t="s">
        <v>2172</v>
      </c>
      <c r="AF86" s="1377" t="s">
        <v>24</v>
      </c>
      <c r="AG86" s="1377">
        <f>IF(X86&gt;=1,(AB86*12+AD86)-(X86*12+Z86)+1,"")</f>
        <v>10</v>
      </c>
      <c r="AH86" s="1379" t="s">
        <v>38</v>
      </c>
      <c r="AI86" s="1381"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315"/>
      <c r="B87" s="1301"/>
      <c r="C87" s="1302"/>
      <c r="D87" s="1302"/>
      <c r="E87" s="1302"/>
      <c r="F87" s="1303"/>
      <c r="G87" s="1268"/>
      <c r="H87" s="1268"/>
      <c r="I87" s="1268"/>
      <c r="J87" s="1443"/>
      <c r="K87" s="1268"/>
      <c r="L87" s="1454"/>
      <c r="M87" s="1463"/>
      <c r="N87" s="1399" t="str">
        <f>IF('別紙様式2-2（４・５月分）'!Q69="","",'別紙様式2-2（４・５月分）'!Q69)</f>
        <v/>
      </c>
      <c r="O87" s="1420"/>
      <c r="P87" s="1426"/>
      <c r="Q87" s="1427"/>
      <c r="R87" s="1428"/>
      <c r="S87" s="1430"/>
      <c r="T87" s="1432"/>
      <c r="U87" s="1577"/>
      <c r="V87" s="1436"/>
      <c r="W87" s="1438"/>
      <c r="X87" s="1575"/>
      <c r="Y87" s="1378"/>
      <c r="Z87" s="1575"/>
      <c r="AA87" s="1378"/>
      <c r="AB87" s="1575"/>
      <c r="AC87" s="1378"/>
      <c r="AD87" s="1575"/>
      <c r="AE87" s="1378"/>
      <c r="AF87" s="1378"/>
      <c r="AG87" s="1378"/>
      <c r="AH87" s="1380"/>
      <c r="AI87" s="1382"/>
      <c r="AJ87" s="1569"/>
      <c r="AK87" s="1571"/>
      <c r="AL87" s="1573"/>
      <c r="AM87" s="1564"/>
      <c r="AN87" s="1566"/>
      <c r="AO87" s="1394"/>
      <c r="AP87" s="1567"/>
      <c r="AQ87" s="1394"/>
      <c r="AR87" s="1536"/>
      <c r="AS87" s="1539"/>
      <c r="AT87" s="1537" t="str">
        <f t="shared" ref="AT87" si="66">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1"/>
      <c r="C88" s="1302"/>
      <c r="D88" s="1302"/>
      <c r="E88" s="1302"/>
      <c r="F88" s="1303"/>
      <c r="G88" s="1268"/>
      <c r="H88" s="1268"/>
      <c r="I88" s="1268"/>
      <c r="J88" s="1443"/>
      <c r="K88" s="1268"/>
      <c r="L88" s="1454"/>
      <c r="M88" s="1463"/>
      <c r="N88" s="1400"/>
      <c r="O88" s="1421"/>
      <c r="P88" s="1401" t="s">
        <v>2179</v>
      </c>
      <c r="Q88" s="1460" t="str">
        <f>IFERROR(VLOOKUP('別紙様式2-2（４・５月分）'!AR68,【参考】数式用!$AT$5:$AV$22,3,FALSE),"")</f>
        <v/>
      </c>
      <c r="R88" s="1405" t="s">
        <v>2190</v>
      </c>
      <c r="S88" s="1407" t="str">
        <f>IFERROR(VLOOKUP(K86,【参考】数式用!$A$5:$AB$27,MATCH(Q88,【参考】数式用!$B$4:$AB$4,0)+1,0),"")</f>
        <v/>
      </c>
      <c r="T88" s="1409" t="s">
        <v>2267</v>
      </c>
      <c r="U88" s="1561"/>
      <c r="V88" s="1413" t="str">
        <f>IFERROR(VLOOKUP(K86,【参考】数式用!$A$5:$AB$27,MATCH(U88,【参考】数式用!$B$4:$AB$4,0)+1,0),"")</f>
        <v/>
      </c>
      <c r="W88" s="1415" t="s">
        <v>19</v>
      </c>
      <c r="X88" s="1559"/>
      <c r="Y88" s="1397" t="s">
        <v>10</v>
      </c>
      <c r="Z88" s="1559"/>
      <c r="AA88" s="1397" t="s">
        <v>45</v>
      </c>
      <c r="AB88" s="1559"/>
      <c r="AC88" s="1397" t="s">
        <v>10</v>
      </c>
      <c r="AD88" s="1559"/>
      <c r="AE88" s="1397" t="s">
        <v>2172</v>
      </c>
      <c r="AF88" s="1397" t="s">
        <v>24</v>
      </c>
      <c r="AG88" s="1397" t="str">
        <f>IF(X88&gt;=1,(AB88*12+AD88)-(X88*12+Z88)+1,"")</f>
        <v/>
      </c>
      <c r="AH88" s="1365" t="s">
        <v>38</v>
      </c>
      <c r="AI88" s="1489" t="str">
        <f t="shared" ref="AI88" si="67">IFERROR(ROUNDDOWN(ROUND(L86*V88,0)*M86,0)*AG88,"")</f>
        <v/>
      </c>
      <c r="AJ88" s="1553" t="str">
        <f>IFERROR(ROUNDDOWN(ROUND((L86*(V88-AX86)),0)*M86,0)*AG88,"")</f>
        <v/>
      </c>
      <c r="AK88" s="1371"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IF(AND(AB86&lt;&gt;7,AD86&lt;&gt;3),"V列に色付け","")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316"/>
      <c r="B89" s="1439"/>
      <c r="C89" s="1440"/>
      <c r="D89" s="1440"/>
      <c r="E89" s="1440"/>
      <c r="F89" s="1441"/>
      <c r="G89" s="1269"/>
      <c r="H89" s="1269"/>
      <c r="I89" s="1269"/>
      <c r="J89" s="1444"/>
      <c r="K89" s="1269"/>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66"/>
      <c r="AI89" s="1490"/>
      <c r="AJ89" s="1554"/>
      <c r="AK89" s="1372"/>
      <c r="AL89" s="1556"/>
      <c r="AM89" s="1558"/>
      <c r="AN89" s="1550"/>
      <c r="AO89" s="1530"/>
      <c r="AP89" s="1552"/>
      <c r="AQ89" s="1530"/>
      <c r="AR89" s="1532"/>
      <c r="AS89" s="153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43"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2258</v>
      </c>
      <c r="U90" s="1576" t="str">
        <f>IF('別紙様式2-3（６月以降分）'!U90="","",'別紙様式2-3（６月以降分）'!U90)</f>
        <v/>
      </c>
      <c r="V90" s="1435" t="str">
        <f>IFERROR(VLOOKUP(K90,【参考】数式用!$A$5:$AB$27,MATCH(U90,【参考】数式用!$B$4:$AB$4,0)+1,0),"")</f>
        <v/>
      </c>
      <c r="W90" s="1437" t="s">
        <v>19</v>
      </c>
      <c r="X90" s="1574">
        <f>'別紙様式2-3（６月以降分）'!X90</f>
        <v>6</v>
      </c>
      <c r="Y90" s="1377" t="s">
        <v>10</v>
      </c>
      <c r="Z90" s="1574">
        <f>'別紙様式2-3（６月以降分）'!Z90</f>
        <v>6</v>
      </c>
      <c r="AA90" s="1377" t="s">
        <v>45</v>
      </c>
      <c r="AB90" s="1574">
        <f>'別紙様式2-3（６月以降分）'!AB90</f>
        <v>7</v>
      </c>
      <c r="AC90" s="1377" t="s">
        <v>10</v>
      </c>
      <c r="AD90" s="1574">
        <f>'別紙様式2-3（６月以降分）'!AD90</f>
        <v>3</v>
      </c>
      <c r="AE90" s="1377" t="s">
        <v>2172</v>
      </c>
      <c r="AF90" s="1377" t="s">
        <v>24</v>
      </c>
      <c r="AG90" s="1377">
        <f>IF(X90&gt;=1,(AB90*12+AD90)-(X90*12+Z90)+1,"")</f>
        <v>10</v>
      </c>
      <c r="AH90" s="1379" t="s">
        <v>38</v>
      </c>
      <c r="AI90" s="1381"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315"/>
      <c r="B91" s="1301"/>
      <c r="C91" s="1302"/>
      <c r="D91" s="1302"/>
      <c r="E91" s="1302"/>
      <c r="F91" s="1303"/>
      <c r="G91" s="1268"/>
      <c r="H91" s="1268"/>
      <c r="I91" s="1268"/>
      <c r="J91" s="1443"/>
      <c r="K91" s="1268"/>
      <c r="L91" s="1454"/>
      <c r="M91" s="1456"/>
      <c r="N91" s="1399" t="str">
        <f>IF('別紙様式2-2（４・５月分）'!Q72="","",'別紙様式2-2（４・５月分）'!Q72)</f>
        <v/>
      </c>
      <c r="O91" s="1420"/>
      <c r="P91" s="1426"/>
      <c r="Q91" s="1427"/>
      <c r="R91" s="1428"/>
      <c r="S91" s="1430"/>
      <c r="T91" s="1432"/>
      <c r="U91" s="1577"/>
      <c r="V91" s="1436"/>
      <c r="W91" s="1438"/>
      <c r="X91" s="1575"/>
      <c r="Y91" s="1378"/>
      <c r="Z91" s="1575"/>
      <c r="AA91" s="1378"/>
      <c r="AB91" s="1575"/>
      <c r="AC91" s="1378"/>
      <c r="AD91" s="1575"/>
      <c r="AE91" s="1378"/>
      <c r="AF91" s="1378"/>
      <c r="AG91" s="1378"/>
      <c r="AH91" s="1380"/>
      <c r="AI91" s="1382"/>
      <c r="AJ91" s="1569"/>
      <c r="AK91" s="1571"/>
      <c r="AL91" s="1573"/>
      <c r="AM91" s="1564"/>
      <c r="AN91" s="1566"/>
      <c r="AO91" s="1394"/>
      <c r="AP91" s="1567"/>
      <c r="AQ91" s="1394"/>
      <c r="AR91" s="1536"/>
      <c r="AS91" s="1539"/>
      <c r="AT91" s="1537" t="str">
        <f t="shared" ref="AT91" si="70">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1"/>
      <c r="C92" s="1302"/>
      <c r="D92" s="1302"/>
      <c r="E92" s="1302"/>
      <c r="F92" s="1303"/>
      <c r="G92" s="1268"/>
      <c r="H92" s="1268"/>
      <c r="I92" s="1268"/>
      <c r="J92" s="1443"/>
      <c r="K92" s="1268"/>
      <c r="L92" s="1454"/>
      <c r="M92" s="1456"/>
      <c r="N92" s="1400"/>
      <c r="O92" s="1421"/>
      <c r="P92" s="1401" t="s">
        <v>2179</v>
      </c>
      <c r="Q92" s="1460" t="str">
        <f>IFERROR(VLOOKUP('別紙様式2-2（４・５月分）'!AR71,【参考】数式用!$AT$5:$AV$22,3,FALSE),"")</f>
        <v/>
      </c>
      <c r="R92" s="1405" t="s">
        <v>2190</v>
      </c>
      <c r="S92" s="1447" t="str">
        <f>IFERROR(VLOOKUP(K90,【参考】数式用!$A$5:$AB$27,MATCH(Q92,【参考】数式用!$B$4:$AB$4,0)+1,0),"")</f>
        <v/>
      </c>
      <c r="T92" s="1409" t="s">
        <v>2267</v>
      </c>
      <c r="U92" s="1561"/>
      <c r="V92" s="1413" t="str">
        <f>IFERROR(VLOOKUP(K90,【参考】数式用!$A$5:$AB$27,MATCH(U92,【参考】数式用!$B$4:$AB$4,0)+1,0),"")</f>
        <v/>
      </c>
      <c r="W92" s="1415" t="s">
        <v>19</v>
      </c>
      <c r="X92" s="1559"/>
      <c r="Y92" s="1397" t="s">
        <v>10</v>
      </c>
      <c r="Z92" s="1559"/>
      <c r="AA92" s="1397" t="s">
        <v>45</v>
      </c>
      <c r="AB92" s="1559"/>
      <c r="AC92" s="1397" t="s">
        <v>10</v>
      </c>
      <c r="AD92" s="1559"/>
      <c r="AE92" s="1397" t="s">
        <v>2172</v>
      </c>
      <c r="AF92" s="1397" t="s">
        <v>24</v>
      </c>
      <c r="AG92" s="1397" t="str">
        <f>IF(X92&gt;=1,(AB92*12+AD92)-(X92*12+Z92)+1,"")</f>
        <v/>
      </c>
      <c r="AH92" s="1365" t="s">
        <v>38</v>
      </c>
      <c r="AI92" s="1489" t="str">
        <f t="shared" ref="AI92" si="71">IFERROR(ROUNDDOWN(ROUND(L90*V92,0)*M90,0)*AG92,"")</f>
        <v/>
      </c>
      <c r="AJ92" s="1553" t="str">
        <f>IFERROR(ROUNDDOWN(ROUND((L90*(V92-AX90)),0)*M90,0)*AG92,"")</f>
        <v/>
      </c>
      <c r="AK92" s="1371"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IF(AND(AB90&lt;&gt;7,AD90&lt;&gt;3),"V列に色付け","")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316"/>
      <c r="B93" s="1439"/>
      <c r="C93" s="1440"/>
      <c r="D93" s="1440"/>
      <c r="E93" s="1440"/>
      <c r="F93" s="1441"/>
      <c r="G93" s="1269"/>
      <c r="H93" s="1269"/>
      <c r="I93" s="1269"/>
      <c r="J93" s="1444"/>
      <c r="K93" s="1269"/>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66"/>
      <c r="AI93" s="1490"/>
      <c r="AJ93" s="1554"/>
      <c r="AK93" s="1372"/>
      <c r="AL93" s="1556"/>
      <c r="AM93" s="1558"/>
      <c r="AN93" s="1550"/>
      <c r="AO93" s="1530"/>
      <c r="AP93" s="1552"/>
      <c r="AQ93" s="1530"/>
      <c r="AR93" s="1532"/>
      <c r="AS93" s="153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314">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42" t="str">
        <f>IF(基本情報入力シート!X74="","",基本情報入力シート!X74)</f>
        <v/>
      </c>
      <c r="K94" s="1267"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2258</v>
      </c>
      <c r="U94" s="1576" t="str">
        <f>IF('別紙様式2-3（６月以降分）'!U94="","",'別紙様式2-3（６月以降分）'!U94)</f>
        <v/>
      </c>
      <c r="V94" s="1435" t="str">
        <f>IFERROR(VLOOKUP(K94,【参考】数式用!$A$5:$AB$27,MATCH(U94,【参考】数式用!$B$4:$AB$4,0)+1,0),"")</f>
        <v/>
      </c>
      <c r="W94" s="1437" t="s">
        <v>19</v>
      </c>
      <c r="X94" s="1574">
        <f>'別紙様式2-3（６月以降分）'!X94</f>
        <v>6</v>
      </c>
      <c r="Y94" s="1377" t="s">
        <v>10</v>
      </c>
      <c r="Z94" s="1574">
        <f>'別紙様式2-3（６月以降分）'!Z94</f>
        <v>6</v>
      </c>
      <c r="AA94" s="1377" t="s">
        <v>45</v>
      </c>
      <c r="AB94" s="1574">
        <f>'別紙様式2-3（６月以降分）'!AB94</f>
        <v>7</v>
      </c>
      <c r="AC94" s="1377" t="s">
        <v>10</v>
      </c>
      <c r="AD94" s="1574">
        <f>'別紙様式2-3（６月以降分）'!AD94</f>
        <v>3</v>
      </c>
      <c r="AE94" s="1377" t="s">
        <v>2172</v>
      </c>
      <c r="AF94" s="1377" t="s">
        <v>24</v>
      </c>
      <c r="AG94" s="1377">
        <f>IF(X94&gt;=1,(AB94*12+AD94)-(X94*12+Z94)+1,"")</f>
        <v>10</v>
      </c>
      <c r="AH94" s="1379" t="s">
        <v>38</v>
      </c>
      <c r="AI94" s="1381"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315"/>
      <c r="B95" s="1301"/>
      <c r="C95" s="1302"/>
      <c r="D95" s="1302"/>
      <c r="E95" s="1302"/>
      <c r="F95" s="1303"/>
      <c r="G95" s="1268"/>
      <c r="H95" s="1268"/>
      <c r="I95" s="1268"/>
      <c r="J95" s="1443"/>
      <c r="K95" s="1268"/>
      <c r="L95" s="1454"/>
      <c r="M95" s="1463"/>
      <c r="N95" s="1399" t="str">
        <f>IF('別紙様式2-2（４・５月分）'!Q75="","",'別紙様式2-2（４・５月分）'!Q75)</f>
        <v/>
      </c>
      <c r="O95" s="1420"/>
      <c r="P95" s="1426"/>
      <c r="Q95" s="1427"/>
      <c r="R95" s="1428"/>
      <c r="S95" s="1430"/>
      <c r="T95" s="1432"/>
      <c r="U95" s="1577"/>
      <c r="V95" s="1436"/>
      <c r="W95" s="1438"/>
      <c r="X95" s="1575"/>
      <c r="Y95" s="1378"/>
      <c r="Z95" s="1575"/>
      <c r="AA95" s="1378"/>
      <c r="AB95" s="1575"/>
      <c r="AC95" s="1378"/>
      <c r="AD95" s="1575"/>
      <c r="AE95" s="1378"/>
      <c r="AF95" s="1378"/>
      <c r="AG95" s="1378"/>
      <c r="AH95" s="1380"/>
      <c r="AI95" s="1382"/>
      <c r="AJ95" s="1569"/>
      <c r="AK95" s="1571"/>
      <c r="AL95" s="1573"/>
      <c r="AM95" s="1564"/>
      <c r="AN95" s="1566"/>
      <c r="AO95" s="1394"/>
      <c r="AP95" s="1567"/>
      <c r="AQ95" s="1394"/>
      <c r="AR95" s="1536"/>
      <c r="AS95" s="1539"/>
      <c r="AT95" s="1537" t="str">
        <f t="shared" ref="AT95" si="74">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1"/>
      <c r="C96" s="1302"/>
      <c r="D96" s="1302"/>
      <c r="E96" s="1302"/>
      <c r="F96" s="1303"/>
      <c r="G96" s="1268"/>
      <c r="H96" s="1268"/>
      <c r="I96" s="1268"/>
      <c r="J96" s="1443"/>
      <c r="K96" s="1268"/>
      <c r="L96" s="1454"/>
      <c r="M96" s="1463"/>
      <c r="N96" s="1400"/>
      <c r="O96" s="1421"/>
      <c r="P96" s="1401" t="s">
        <v>2179</v>
      </c>
      <c r="Q96" s="1460" t="str">
        <f>IFERROR(VLOOKUP('別紙様式2-2（４・５月分）'!AR74,【参考】数式用!$AT$5:$AV$22,3,FALSE),"")</f>
        <v/>
      </c>
      <c r="R96" s="1405" t="s">
        <v>2190</v>
      </c>
      <c r="S96" s="1407" t="str">
        <f>IFERROR(VLOOKUP(K94,【参考】数式用!$A$5:$AB$27,MATCH(Q96,【参考】数式用!$B$4:$AB$4,0)+1,0),"")</f>
        <v/>
      </c>
      <c r="T96" s="1409" t="s">
        <v>2267</v>
      </c>
      <c r="U96" s="1561"/>
      <c r="V96" s="1413" t="str">
        <f>IFERROR(VLOOKUP(K94,【参考】数式用!$A$5:$AB$27,MATCH(U96,【参考】数式用!$B$4:$AB$4,0)+1,0),"")</f>
        <v/>
      </c>
      <c r="W96" s="1415" t="s">
        <v>19</v>
      </c>
      <c r="X96" s="1559"/>
      <c r="Y96" s="1397" t="s">
        <v>10</v>
      </c>
      <c r="Z96" s="1559"/>
      <c r="AA96" s="1397" t="s">
        <v>45</v>
      </c>
      <c r="AB96" s="1559"/>
      <c r="AC96" s="1397" t="s">
        <v>10</v>
      </c>
      <c r="AD96" s="1559"/>
      <c r="AE96" s="1397" t="s">
        <v>2172</v>
      </c>
      <c r="AF96" s="1397" t="s">
        <v>24</v>
      </c>
      <c r="AG96" s="1397" t="str">
        <f>IF(X96&gt;=1,(AB96*12+AD96)-(X96*12+Z96)+1,"")</f>
        <v/>
      </c>
      <c r="AH96" s="1365" t="s">
        <v>38</v>
      </c>
      <c r="AI96" s="1489" t="str">
        <f t="shared" ref="AI96" si="75">IFERROR(ROUNDDOWN(ROUND(L94*V96,0)*M94,0)*AG96,"")</f>
        <v/>
      </c>
      <c r="AJ96" s="1553" t="str">
        <f>IFERROR(ROUNDDOWN(ROUND((L94*(V96-AX94)),0)*M94,0)*AG96,"")</f>
        <v/>
      </c>
      <c r="AK96" s="1371"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IF(AND(AB94&lt;&gt;7,AD94&lt;&gt;3),"V列に色付け","")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316"/>
      <c r="B97" s="1439"/>
      <c r="C97" s="1440"/>
      <c r="D97" s="1440"/>
      <c r="E97" s="1440"/>
      <c r="F97" s="1441"/>
      <c r="G97" s="1269"/>
      <c r="H97" s="1269"/>
      <c r="I97" s="1269"/>
      <c r="J97" s="1444"/>
      <c r="K97" s="1269"/>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66"/>
      <c r="AI97" s="1490"/>
      <c r="AJ97" s="1554"/>
      <c r="AK97" s="1372"/>
      <c r="AL97" s="1556"/>
      <c r="AM97" s="1558"/>
      <c r="AN97" s="1550"/>
      <c r="AO97" s="1530"/>
      <c r="AP97" s="1552"/>
      <c r="AQ97" s="1530"/>
      <c r="AR97" s="1532"/>
      <c r="AS97" s="153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43"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2258</v>
      </c>
      <c r="U98" s="1576" t="str">
        <f>IF('別紙様式2-3（６月以降分）'!U98="","",'別紙様式2-3（６月以降分）'!U98)</f>
        <v/>
      </c>
      <c r="V98" s="1435" t="str">
        <f>IFERROR(VLOOKUP(K98,【参考】数式用!$A$5:$AB$27,MATCH(U98,【参考】数式用!$B$4:$AB$4,0)+1,0),"")</f>
        <v/>
      </c>
      <c r="W98" s="1437" t="s">
        <v>19</v>
      </c>
      <c r="X98" s="1574">
        <f>'別紙様式2-3（６月以降分）'!X98</f>
        <v>6</v>
      </c>
      <c r="Y98" s="1377" t="s">
        <v>10</v>
      </c>
      <c r="Z98" s="1574">
        <f>'別紙様式2-3（６月以降分）'!Z98</f>
        <v>6</v>
      </c>
      <c r="AA98" s="1377" t="s">
        <v>45</v>
      </c>
      <c r="AB98" s="1574">
        <f>'別紙様式2-3（６月以降分）'!AB98</f>
        <v>7</v>
      </c>
      <c r="AC98" s="1377" t="s">
        <v>10</v>
      </c>
      <c r="AD98" s="1574">
        <f>'別紙様式2-3（６月以降分）'!AD98</f>
        <v>3</v>
      </c>
      <c r="AE98" s="1377" t="s">
        <v>2172</v>
      </c>
      <c r="AF98" s="1377" t="s">
        <v>24</v>
      </c>
      <c r="AG98" s="1377">
        <f>IF(X98&gt;=1,(AB98*12+AD98)-(X98*12+Z98)+1,"")</f>
        <v>10</v>
      </c>
      <c r="AH98" s="1379" t="s">
        <v>38</v>
      </c>
      <c r="AI98" s="1381"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315"/>
      <c r="B99" s="1301"/>
      <c r="C99" s="1302"/>
      <c r="D99" s="1302"/>
      <c r="E99" s="1302"/>
      <c r="F99" s="1303"/>
      <c r="G99" s="1268"/>
      <c r="H99" s="1268"/>
      <c r="I99" s="1268"/>
      <c r="J99" s="1443"/>
      <c r="K99" s="1268"/>
      <c r="L99" s="1454"/>
      <c r="M99" s="1456"/>
      <c r="N99" s="1399" t="str">
        <f>IF('別紙様式2-2（４・５月分）'!Q78="","",'別紙様式2-2（４・５月分）'!Q78)</f>
        <v/>
      </c>
      <c r="O99" s="1420"/>
      <c r="P99" s="1426"/>
      <c r="Q99" s="1427"/>
      <c r="R99" s="1428"/>
      <c r="S99" s="1430"/>
      <c r="T99" s="1432"/>
      <c r="U99" s="1577"/>
      <c r="V99" s="1436"/>
      <c r="W99" s="1438"/>
      <c r="X99" s="1575"/>
      <c r="Y99" s="1378"/>
      <c r="Z99" s="1575"/>
      <c r="AA99" s="1378"/>
      <c r="AB99" s="1575"/>
      <c r="AC99" s="1378"/>
      <c r="AD99" s="1575"/>
      <c r="AE99" s="1378"/>
      <c r="AF99" s="1378"/>
      <c r="AG99" s="1378"/>
      <c r="AH99" s="1380"/>
      <c r="AI99" s="1382"/>
      <c r="AJ99" s="1569"/>
      <c r="AK99" s="1571"/>
      <c r="AL99" s="1573"/>
      <c r="AM99" s="1564"/>
      <c r="AN99" s="1566"/>
      <c r="AO99" s="1394"/>
      <c r="AP99" s="1567"/>
      <c r="AQ99" s="1394"/>
      <c r="AR99" s="1536"/>
      <c r="AS99" s="1539"/>
      <c r="AT99" s="1537" t="str">
        <f t="shared" ref="AT99" si="7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1"/>
      <c r="C100" s="1302"/>
      <c r="D100" s="1302"/>
      <c r="E100" s="1302"/>
      <c r="F100" s="1303"/>
      <c r="G100" s="1268"/>
      <c r="H100" s="1268"/>
      <c r="I100" s="1268"/>
      <c r="J100" s="1443"/>
      <c r="K100" s="1268"/>
      <c r="L100" s="1454"/>
      <c r="M100" s="1456"/>
      <c r="N100" s="1400"/>
      <c r="O100" s="1421"/>
      <c r="P100" s="1401" t="s">
        <v>2179</v>
      </c>
      <c r="Q100" s="1460" t="str">
        <f>IFERROR(VLOOKUP('別紙様式2-2（４・５月分）'!AR77,【参考】数式用!$AT$5:$AV$22,3,FALSE),"")</f>
        <v/>
      </c>
      <c r="R100" s="1405" t="s">
        <v>2190</v>
      </c>
      <c r="S100" s="1447" t="str">
        <f>IFERROR(VLOOKUP(K98,【参考】数式用!$A$5:$AB$27,MATCH(Q100,【参考】数式用!$B$4:$AB$4,0)+1,0),"")</f>
        <v/>
      </c>
      <c r="T100" s="1409" t="s">
        <v>2267</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2172</v>
      </c>
      <c r="AF100" s="1397" t="s">
        <v>24</v>
      </c>
      <c r="AG100" s="1397" t="str">
        <f>IF(X100&gt;=1,(AB100*12+AD100)-(X100*12+Z100)+1,"")</f>
        <v/>
      </c>
      <c r="AH100" s="1365" t="s">
        <v>38</v>
      </c>
      <c r="AI100" s="1489" t="str">
        <f t="shared" ref="AI100" si="79">IFERROR(ROUNDDOWN(ROUND(L98*V100,0)*M98,0)*AG100,"")</f>
        <v/>
      </c>
      <c r="AJ100" s="1553" t="str">
        <f>IFERROR(ROUNDDOWN(ROUND((L98*(V100-AX98)),0)*M98,0)*AG100,"")</f>
        <v/>
      </c>
      <c r="AK100" s="1371"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IF(AND(AB98&lt;&gt;7,AD98&lt;&gt;3),"V列に色付け","")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316"/>
      <c r="B101" s="1439"/>
      <c r="C101" s="1440"/>
      <c r="D101" s="1440"/>
      <c r="E101" s="1440"/>
      <c r="F101" s="1441"/>
      <c r="G101" s="1269"/>
      <c r="H101" s="1269"/>
      <c r="I101" s="1269"/>
      <c r="J101" s="1444"/>
      <c r="K101" s="1269"/>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66"/>
      <c r="AI101" s="1490"/>
      <c r="AJ101" s="1554"/>
      <c r="AK101" s="1372"/>
      <c r="AL101" s="1556"/>
      <c r="AM101" s="1558"/>
      <c r="AN101" s="1550"/>
      <c r="AO101" s="1530"/>
      <c r="AP101" s="1552"/>
      <c r="AQ101" s="1530"/>
      <c r="AR101" s="1532"/>
      <c r="AS101" s="153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314">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43"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2258</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7" t="s">
        <v>10</v>
      </c>
      <c r="Z102" s="1574">
        <f>'別紙様式2-3（６月以降分）'!Z102</f>
        <v>6</v>
      </c>
      <c r="AA102" s="1377" t="s">
        <v>45</v>
      </c>
      <c r="AB102" s="1574">
        <f>'別紙様式2-3（６月以降分）'!AB102</f>
        <v>7</v>
      </c>
      <c r="AC102" s="1377" t="s">
        <v>10</v>
      </c>
      <c r="AD102" s="1574">
        <f>'別紙様式2-3（６月以降分）'!AD102</f>
        <v>3</v>
      </c>
      <c r="AE102" s="1377" t="s">
        <v>2172</v>
      </c>
      <c r="AF102" s="1377" t="s">
        <v>24</v>
      </c>
      <c r="AG102" s="1377">
        <f>IF(X102&gt;=1,(AB102*12+AD102)-(X102*12+Z102)+1,"")</f>
        <v>10</v>
      </c>
      <c r="AH102" s="1379" t="s">
        <v>38</v>
      </c>
      <c r="AI102" s="1381"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315"/>
      <c r="B103" s="1301"/>
      <c r="C103" s="1302"/>
      <c r="D103" s="1302"/>
      <c r="E103" s="1302"/>
      <c r="F103" s="1303"/>
      <c r="G103" s="1268"/>
      <c r="H103" s="1268"/>
      <c r="I103" s="1268"/>
      <c r="J103" s="1443"/>
      <c r="K103" s="1268"/>
      <c r="L103" s="1454"/>
      <c r="M103" s="1456"/>
      <c r="N103" s="1399" t="str">
        <f>IF('別紙様式2-2（４・５月分）'!Q81="","",'別紙様式2-2（４・５月分）'!Q81)</f>
        <v/>
      </c>
      <c r="O103" s="1420"/>
      <c r="P103" s="1426"/>
      <c r="Q103" s="1427"/>
      <c r="R103" s="1428"/>
      <c r="S103" s="1430"/>
      <c r="T103" s="1432"/>
      <c r="U103" s="1577"/>
      <c r="V103" s="1436"/>
      <c r="W103" s="1438"/>
      <c r="X103" s="1575"/>
      <c r="Y103" s="1378"/>
      <c r="Z103" s="1575"/>
      <c r="AA103" s="1378"/>
      <c r="AB103" s="1575"/>
      <c r="AC103" s="1378"/>
      <c r="AD103" s="1575"/>
      <c r="AE103" s="1378"/>
      <c r="AF103" s="1378"/>
      <c r="AG103" s="1378"/>
      <c r="AH103" s="1380"/>
      <c r="AI103" s="1382"/>
      <c r="AJ103" s="1569"/>
      <c r="AK103" s="1571"/>
      <c r="AL103" s="1573"/>
      <c r="AM103" s="1564"/>
      <c r="AN103" s="1566"/>
      <c r="AO103" s="1394"/>
      <c r="AP103" s="1567"/>
      <c r="AQ103" s="1394"/>
      <c r="AR103" s="1536"/>
      <c r="AS103" s="1539"/>
      <c r="AT103" s="1537" t="str">
        <f t="shared" ref="AT103" si="82">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1"/>
      <c r="C104" s="1302"/>
      <c r="D104" s="1302"/>
      <c r="E104" s="1302"/>
      <c r="F104" s="1303"/>
      <c r="G104" s="1268"/>
      <c r="H104" s="1268"/>
      <c r="I104" s="1268"/>
      <c r="J104" s="1443"/>
      <c r="K104" s="1268"/>
      <c r="L104" s="1454"/>
      <c r="M104" s="1456"/>
      <c r="N104" s="1400"/>
      <c r="O104" s="1421"/>
      <c r="P104" s="1401" t="s">
        <v>2179</v>
      </c>
      <c r="Q104" s="1460" t="str">
        <f>IFERROR(VLOOKUP('別紙様式2-2（４・５月分）'!AR80,【参考】数式用!$AT$5:$AV$22,3,FALSE),"")</f>
        <v/>
      </c>
      <c r="R104" s="1405" t="s">
        <v>2190</v>
      </c>
      <c r="S104" s="1447" t="str">
        <f>IFERROR(VLOOKUP(K102,【参考】数式用!$A$5:$AB$27,MATCH(Q104,【参考】数式用!$B$4:$AB$4,0)+1,0),"")</f>
        <v/>
      </c>
      <c r="T104" s="1409" t="s">
        <v>2267</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2172</v>
      </c>
      <c r="AF104" s="1397" t="s">
        <v>24</v>
      </c>
      <c r="AG104" s="1397" t="str">
        <f>IF(X104&gt;=1,(AB104*12+AD104)-(X104*12+Z104)+1,"")</f>
        <v/>
      </c>
      <c r="AH104" s="1365" t="s">
        <v>38</v>
      </c>
      <c r="AI104" s="1489" t="str">
        <f t="shared" ref="AI104" si="83">IFERROR(ROUNDDOWN(ROUND(L102*V104,0)*M102,0)*AG104,"")</f>
        <v/>
      </c>
      <c r="AJ104" s="1553" t="str">
        <f>IFERROR(ROUNDDOWN(ROUND((L102*(V104-AX102)),0)*M102,0)*AG104,"")</f>
        <v/>
      </c>
      <c r="AK104" s="1371"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IF(AND(AB102&lt;&gt;7,AD102&lt;&gt;3),"V列に色付け","")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316"/>
      <c r="B105" s="1439"/>
      <c r="C105" s="1440"/>
      <c r="D105" s="1440"/>
      <c r="E105" s="1440"/>
      <c r="F105" s="1441"/>
      <c r="G105" s="1269"/>
      <c r="H105" s="1269"/>
      <c r="I105" s="1269"/>
      <c r="J105" s="1444"/>
      <c r="K105" s="1269"/>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66"/>
      <c r="AI105" s="1490"/>
      <c r="AJ105" s="1554"/>
      <c r="AK105" s="1372"/>
      <c r="AL105" s="1556"/>
      <c r="AM105" s="1558"/>
      <c r="AN105" s="1550"/>
      <c r="AO105" s="1530"/>
      <c r="AP105" s="1552"/>
      <c r="AQ105" s="1530"/>
      <c r="AR105" s="1532"/>
      <c r="AS105" s="153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42" t="str">
        <f>IF(基本情報入力シート!X77="","",基本情報入力シート!X77)</f>
        <v/>
      </c>
      <c r="K106" s="1267"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2258</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7" t="s">
        <v>10</v>
      </c>
      <c r="Z106" s="1574">
        <f>'別紙様式2-3（６月以降分）'!Z106</f>
        <v>6</v>
      </c>
      <c r="AA106" s="1377" t="s">
        <v>45</v>
      </c>
      <c r="AB106" s="1574">
        <f>'別紙様式2-3（６月以降分）'!AB106</f>
        <v>7</v>
      </c>
      <c r="AC106" s="1377" t="s">
        <v>10</v>
      </c>
      <c r="AD106" s="1574">
        <f>'別紙様式2-3（６月以降分）'!AD106</f>
        <v>3</v>
      </c>
      <c r="AE106" s="1377" t="s">
        <v>2172</v>
      </c>
      <c r="AF106" s="1377" t="s">
        <v>24</v>
      </c>
      <c r="AG106" s="1377">
        <f>IF(X106&gt;=1,(AB106*12+AD106)-(X106*12+Z106)+1,"")</f>
        <v>10</v>
      </c>
      <c r="AH106" s="1379" t="s">
        <v>38</v>
      </c>
      <c r="AI106" s="1381"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315"/>
      <c r="B107" s="1301"/>
      <c r="C107" s="1302"/>
      <c r="D107" s="1302"/>
      <c r="E107" s="1302"/>
      <c r="F107" s="1303"/>
      <c r="G107" s="1268"/>
      <c r="H107" s="1268"/>
      <c r="I107" s="1268"/>
      <c r="J107" s="1443"/>
      <c r="K107" s="1268"/>
      <c r="L107" s="1454"/>
      <c r="M107" s="1463"/>
      <c r="N107" s="1399" t="str">
        <f>IF('別紙様式2-2（４・５月分）'!Q84="","",'別紙様式2-2（４・５月分）'!Q84)</f>
        <v/>
      </c>
      <c r="O107" s="1420"/>
      <c r="P107" s="1426"/>
      <c r="Q107" s="1427"/>
      <c r="R107" s="1428"/>
      <c r="S107" s="1430"/>
      <c r="T107" s="1432"/>
      <c r="U107" s="1577"/>
      <c r="V107" s="1436"/>
      <c r="W107" s="1438"/>
      <c r="X107" s="1575"/>
      <c r="Y107" s="1378"/>
      <c r="Z107" s="1575"/>
      <c r="AA107" s="1378"/>
      <c r="AB107" s="1575"/>
      <c r="AC107" s="1378"/>
      <c r="AD107" s="1575"/>
      <c r="AE107" s="1378"/>
      <c r="AF107" s="1378"/>
      <c r="AG107" s="1378"/>
      <c r="AH107" s="1380"/>
      <c r="AI107" s="1382"/>
      <c r="AJ107" s="1569"/>
      <c r="AK107" s="1571"/>
      <c r="AL107" s="1573"/>
      <c r="AM107" s="1564"/>
      <c r="AN107" s="1566"/>
      <c r="AO107" s="1394"/>
      <c r="AP107" s="1567"/>
      <c r="AQ107" s="1394"/>
      <c r="AR107" s="1536"/>
      <c r="AS107" s="1539"/>
      <c r="AT107" s="1537" t="str">
        <f t="shared" ref="AT107" si="86">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1"/>
      <c r="C108" s="1302"/>
      <c r="D108" s="1302"/>
      <c r="E108" s="1302"/>
      <c r="F108" s="1303"/>
      <c r="G108" s="1268"/>
      <c r="H108" s="1268"/>
      <c r="I108" s="1268"/>
      <c r="J108" s="1443"/>
      <c r="K108" s="1268"/>
      <c r="L108" s="1454"/>
      <c r="M108" s="1463"/>
      <c r="N108" s="1400"/>
      <c r="O108" s="1421"/>
      <c r="P108" s="1401" t="s">
        <v>2179</v>
      </c>
      <c r="Q108" s="1460" t="str">
        <f>IFERROR(VLOOKUP('別紙様式2-2（４・５月分）'!AR83,【参考】数式用!$AT$5:$AV$22,3,FALSE),"")</f>
        <v/>
      </c>
      <c r="R108" s="1405" t="s">
        <v>2190</v>
      </c>
      <c r="S108" s="1407" t="str">
        <f>IFERROR(VLOOKUP(K106,【参考】数式用!$A$5:$AB$27,MATCH(Q108,【参考】数式用!$B$4:$AB$4,0)+1,0),"")</f>
        <v/>
      </c>
      <c r="T108" s="1409" t="s">
        <v>2267</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2172</v>
      </c>
      <c r="AF108" s="1397" t="s">
        <v>24</v>
      </c>
      <c r="AG108" s="1397" t="str">
        <f>IF(X108&gt;=1,(AB108*12+AD108)-(X108*12+Z108)+1,"")</f>
        <v/>
      </c>
      <c r="AH108" s="1365" t="s">
        <v>38</v>
      </c>
      <c r="AI108" s="1489" t="str">
        <f t="shared" ref="AI108" si="87">IFERROR(ROUNDDOWN(ROUND(L106*V108,0)*M106,0)*AG108,"")</f>
        <v/>
      </c>
      <c r="AJ108" s="1553" t="str">
        <f>IFERROR(ROUNDDOWN(ROUND((L106*(V108-AX106)),0)*M106,0)*AG108,"")</f>
        <v/>
      </c>
      <c r="AK108" s="1371"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IF(AND(AB106&lt;&gt;7,AD106&lt;&gt;3),"V列に色付け","")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316"/>
      <c r="B109" s="1439"/>
      <c r="C109" s="1440"/>
      <c r="D109" s="1440"/>
      <c r="E109" s="1440"/>
      <c r="F109" s="1441"/>
      <c r="G109" s="1269"/>
      <c r="H109" s="1269"/>
      <c r="I109" s="1269"/>
      <c r="J109" s="1444"/>
      <c r="K109" s="1269"/>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66"/>
      <c r="AI109" s="1490"/>
      <c r="AJ109" s="1554"/>
      <c r="AK109" s="1372"/>
      <c r="AL109" s="1556"/>
      <c r="AM109" s="1558"/>
      <c r="AN109" s="1550"/>
      <c r="AO109" s="1530"/>
      <c r="AP109" s="1552"/>
      <c r="AQ109" s="1530"/>
      <c r="AR109" s="1532"/>
      <c r="AS109" s="153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314">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43"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2258</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7" t="s">
        <v>10</v>
      </c>
      <c r="Z110" s="1574">
        <f>'別紙様式2-3（６月以降分）'!Z110</f>
        <v>6</v>
      </c>
      <c r="AA110" s="1377" t="s">
        <v>45</v>
      </c>
      <c r="AB110" s="1574">
        <f>'別紙様式2-3（６月以降分）'!AB110</f>
        <v>7</v>
      </c>
      <c r="AC110" s="1377" t="s">
        <v>10</v>
      </c>
      <c r="AD110" s="1574">
        <f>'別紙様式2-3（６月以降分）'!AD110</f>
        <v>3</v>
      </c>
      <c r="AE110" s="1377" t="s">
        <v>2172</v>
      </c>
      <c r="AF110" s="1377" t="s">
        <v>24</v>
      </c>
      <c r="AG110" s="1377">
        <f>IF(X110&gt;=1,(AB110*12+AD110)-(X110*12+Z110)+1,"")</f>
        <v>10</v>
      </c>
      <c r="AH110" s="1379" t="s">
        <v>38</v>
      </c>
      <c r="AI110" s="1381"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315"/>
      <c r="B111" s="1301"/>
      <c r="C111" s="1302"/>
      <c r="D111" s="1302"/>
      <c r="E111" s="1302"/>
      <c r="F111" s="1303"/>
      <c r="G111" s="1268"/>
      <c r="H111" s="1268"/>
      <c r="I111" s="1268"/>
      <c r="J111" s="1443"/>
      <c r="K111" s="1268"/>
      <c r="L111" s="1454"/>
      <c r="M111" s="1456"/>
      <c r="N111" s="1399" t="str">
        <f>IF('別紙様式2-2（４・５月分）'!Q87="","",'別紙様式2-2（４・５月分）'!Q87)</f>
        <v/>
      </c>
      <c r="O111" s="1420"/>
      <c r="P111" s="1426"/>
      <c r="Q111" s="1427"/>
      <c r="R111" s="1428"/>
      <c r="S111" s="1430"/>
      <c r="T111" s="1432"/>
      <c r="U111" s="1577"/>
      <c r="V111" s="1436"/>
      <c r="W111" s="1438"/>
      <c r="X111" s="1575"/>
      <c r="Y111" s="1378"/>
      <c r="Z111" s="1575"/>
      <c r="AA111" s="1378"/>
      <c r="AB111" s="1575"/>
      <c r="AC111" s="1378"/>
      <c r="AD111" s="1575"/>
      <c r="AE111" s="1378"/>
      <c r="AF111" s="1378"/>
      <c r="AG111" s="1378"/>
      <c r="AH111" s="1380"/>
      <c r="AI111" s="1382"/>
      <c r="AJ111" s="1569"/>
      <c r="AK111" s="1571"/>
      <c r="AL111" s="1573"/>
      <c r="AM111" s="1564"/>
      <c r="AN111" s="1566"/>
      <c r="AO111" s="1394"/>
      <c r="AP111" s="1567"/>
      <c r="AQ111" s="1394"/>
      <c r="AR111" s="1536"/>
      <c r="AS111" s="1539"/>
      <c r="AT111" s="1537" t="str">
        <f t="shared" ref="AT111" si="90">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1"/>
      <c r="C112" s="1302"/>
      <c r="D112" s="1302"/>
      <c r="E112" s="1302"/>
      <c r="F112" s="1303"/>
      <c r="G112" s="1268"/>
      <c r="H112" s="1268"/>
      <c r="I112" s="1268"/>
      <c r="J112" s="1443"/>
      <c r="K112" s="1268"/>
      <c r="L112" s="1454"/>
      <c r="M112" s="1456"/>
      <c r="N112" s="1400"/>
      <c r="O112" s="1421"/>
      <c r="P112" s="1401" t="s">
        <v>2179</v>
      </c>
      <c r="Q112" s="1460" t="str">
        <f>IFERROR(VLOOKUP('別紙様式2-2（４・５月分）'!AR86,【参考】数式用!$AT$5:$AV$22,3,FALSE),"")</f>
        <v/>
      </c>
      <c r="R112" s="1405" t="s">
        <v>2190</v>
      </c>
      <c r="S112" s="1447" t="str">
        <f>IFERROR(VLOOKUP(K110,【参考】数式用!$A$5:$AB$27,MATCH(Q112,【参考】数式用!$B$4:$AB$4,0)+1,0),"")</f>
        <v/>
      </c>
      <c r="T112" s="1409" t="s">
        <v>2267</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2172</v>
      </c>
      <c r="AF112" s="1397" t="s">
        <v>24</v>
      </c>
      <c r="AG112" s="1397" t="str">
        <f>IF(X112&gt;=1,(AB112*12+AD112)-(X112*12+Z112)+1,"")</f>
        <v/>
      </c>
      <c r="AH112" s="1365" t="s">
        <v>38</v>
      </c>
      <c r="AI112" s="1489" t="str">
        <f t="shared" ref="AI112" si="91">IFERROR(ROUNDDOWN(ROUND(L110*V112,0)*M110,0)*AG112,"")</f>
        <v/>
      </c>
      <c r="AJ112" s="1553" t="str">
        <f>IFERROR(ROUNDDOWN(ROUND((L110*(V112-AX110)),0)*M110,0)*AG112,"")</f>
        <v/>
      </c>
      <c r="AK112" s="1371"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IF(AND(AB110&lt;&gt;7,AD110&lt;&gt;3),"V列に色付け","")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316"/>
      <c r="B113" s="1439"/>
      <c r="C113" s="1440"/>
      <c r="D113" s="1440"/>
      <c r="E113" s="1440"/>
      <c r="F113" s="1441"/>
      <c r="G113" s="1269"/>
      <c r="H113" s="1269"/>
      <c r="I113" s="1269"/>
      <c r="J113" s="1444"/>
      <c r="K113" s="1269"/>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66"/>
      <c r="AI113" s="1490"/>
      <c r="AJ113" s="1554"/>
      <c r="AK113" s="1372"/>
      <c r="AL113" s="1556"/>
      <c r="AM113" s="1558"/>
      <c r="AN113" s="1550"/>
      <c r="AO113" s="1530"/>
      <c r="AP113" s="1552"/>
      <c r="AQ113" s="1530"/>
      <c r="AR113" s="1532"/>
      <c r="AS113" s="153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42" t="str">
        <f>IF(基本情報入力シート!X79="","",基本情報入力シート!X79)</f>
        <v/>
      </c>
      <c r="K114" s="1267"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2258</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7" t="s">
        <v>10</v>
      </c>
      <c r="Z114" s="1574">
        <f>'別紙様式2-3（６月以降分）'!Z114</f>
        <v>6</v>
      </c>
      <c r="AA114" s="1377" t="s">
        <v>45</v>
      </c>
      <c r="AB114" s="1574">
        <f>'別紙様式2-3（６月以降分）'!AB114</f>
        <v>7</v>
      </c>
      <c r="AC114" s="1377" t="s">
        <v>10</v>
      </c>
      <c r="AD114" s="1574">
        <f>'別紙様式2-3（６月以降分）'!AD114</f>
        <v>3</v>
      </c>
      <c r="AE114" s="1377" t="s">
        <v>2172</v>
      </c>
      <c r="AF114" s="1377" t="s">
        <v>24</v>
      </c>
      <c r="AG114" s="1377">
        <f>IF(X114&gt;=1,(AB114*12+AD114)-(X114*12+Z114)+1,"")</f>
        <v>10</v>
      </c>
      <c r="AH114" s="1379" t="s">
        <v>38</v>
      </c>
      <c r="AI114" s="1381"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315"/>
      <c r="B115" s="1301"/>
      <c r="C115" s="1302"/>
      <c r="D115" s="1302"/>
      <c r="E115" s="1302"/>
      <c r="F115" s="1303"/>
      <c r="G115" s="1268"/>
      <c r="H115" s="1268"/>
      <c r="I115" s="1268"/>
      <c r="J115" s="1443"/>
      <c r="K115" s="1268"/>
      <c r="L115" s="1454"/>
      <c r="M115" s="1463"/>
      <c r="N115" s="1399" t="str">
        <f>IF('別紙様式2-2（４・５月分）'!Q90="","",'別紙様式2-2（４・５月分）'!Q90)</f>
        <v/>
      </c>
      <c r="O115" s="1420"/>
      <c r="P115" s="1426"/>
      <c r="Q115" s="1427"/>
      <c r="R115" s="1428"/>
      <c r="S115" s="1430"/>
      <c r="T115" s="1432"/>
      <c r="U115" s="1577"/>
      <c r="V115" s="1436"/>
      <c r="W115" s="1438"/>
      <c r="X115" s="1575"/>
      <c r="Y115" s="1378"/>
      <c r="Z115" s="1575"/>
      <c r="AA115" s="1378"/>
      <c r="AB115" s="1575"/>
      <c r="AC115" s="1378"/>
      <c r="AD115" s="1575"/>
      <c r="AE115" s="1378"/>
      <c r="AF115" s="1378"/>
      <c r="AG115" s="1378"/>
      <c r="AH115" s="1380"/>
      <c r="AI115" s="1382"/>
      <c r="AJ115" s="1569"/>
      <c r="AK115" s="1571"/>
      <c r="AL115" s="1573"/>
      <c r="AM115" s="1564"/>
      <c r="AN115" s="1566"/>
      <c r="AO115" s="1394"/>
      <c r="AP115" s="1567"/>
      <c r="AQ115" s="1394"/>
      <c r="AR115" s="1536"/>
      <c r="AS115" s="1539"/>
      <c r="AT115" s="1537" t="str">
        <f t="shared" ref="AT115" si="94">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1"/>
      <c r="C116" s="1302"/>
      <c r="D116" s="1302"/>
      <c r="E116" s="1302"/>
      <c r="F116" s="1303"/>
      <c r="G116" s="1268"/>
      <c r="H116" s="1268"/>
      <c r="I116" s="1268"/>
      <c r="J116" s="1443"/>
      <c r="K116" s="1268"/>
      <c r="L116" s="1454"/>
      <c r="M116" s="1463"/>
      <c r="N116" s="1400"/>
      <c r="O116" s="1421"/>
      <c r="P116" s="1401" t="s">
        <v>2179</v>
      </c>
      <c r="Q116" s="1460" t="str">
        <f>IFERROR(VLOOKUP('別紙様式2-2（４・５月分）'!AR89,【参考】数式用!$AT$5:$AV$22,3,FALSE),"")</f>
        <v/>
      </c>
      <c r="R116" s="1405" t="s">
        <v>2190</v>
      </c>
      <c r="S116" s="1407" t="str">
        <f>IFERROR(VLOOKUP(K114,【参考】数式用!$A$5:$AB$27,MATCH(Q116,【参考】数式用!$B$4:$AB$4,0)+1,0),"")</f>
        <v/>
      </c>
      <c r="T116" s="1409" t="s">
        <v>2267</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2172</v>
      </c>
      <c r="AF116" s="1397" t="s">
        <v>24</v>
      </c>
      <c r="AG116" s="1397" t="str">
        <f>IF(X116&gt;=1,(AB116*12+AD116)-(X116*12+Z116)+1,"")</f>
        <v/>
      </c>
      <c r="AH116" s="1365" t="s">
        <v>38</v>
      </c>
      <c r="AI116" s="1489" t="str">
        <f t="shared" ref="AI116" si="95">IFERROR(ROUNDDOWN(ROUND(L114*V116,0)*M114,0)*AG116,"")</f>
        <v/>
      </c>
      <c r="AJ116" s="1553" t="str">
        <f>IFERROR(ROUNDDOWN(ROUND((L114*(V116-AX114)),0)*M114,0)*AG116,"")</f>
        <v/>
      </c>
      <c r="AK116" s="1371"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IF(AND(AB114&lt;&gt;7,AD114&lt;&gt;3),"V列に色付け","")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316"/>
      <c r="B117" s="1439"/>
      <c r="C117" s="1440"/>
      <c r="D117" s="1440"/>
      <c r="E117" s="1440"/>
      <c r="F117" s="1441"/>
      <c r="G117" s="1269"/>
      <c r="H117" s="1269"/>
      <c r="I117" s="1269"/>
      <c r="J117" s="1444"/>
      <c r="K117" s="1269"/>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66"/>
      <c r="AI117" s="1490"/>
      <c r="AJ117" s="1554"/>
      <c r="AK117" s="1372"/>
      <c r="AL117" s="1556"/>
      <c r="AM117" s="1558"/>
      <c r="AN117" s="1550"/>
      <c r="AO117" s="1530"/>
      <c r="AP117" s="1552"/>
      <c r="AQ117" s="1530"/>
      <c r="AR117" s="1532"/>
      <c r="AS117" s="153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314">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43"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2258</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7" t="s">
        <v>10</v>
      </c>
      <c r="Z118" s="1574">
        <f>'別紙様式2-3（６月以降分）'!Z118</f>
        <v>6</v>
      </c>
      <c r="AA118" s="1377" t="s">
        <v>45</v>
      </c>
      <c r="AB118" s="1574">
        <f>'別紙様式2-3（６月以降分）'!AB118</f>
        <v>7</v>
      </c>
      <c r="AC118" s="1377" t="s">
        <v>10</v>
      </c>
      <c r="AD118" s="1574">
        <f>'別紙様式2-3（６月以降分）'!AD118</f>
        <v>3</v>
      </c>
      <c r="AE118" s="1377" t="s">
        <v>2172</v>
      </c>
      <c r="AF118" s="1377" t="s">
        <v>24</v>
      </c>
      <c r="AG118" s="1377">
        <f>IF(X118&gt;=1,(AB118*12+AD118)-(X118*12+Z118)+1,"")</f>
        <v>10</v>
      </c>
      <c r="AH118" s="1379" t="s">
        <v>38</v>
      </c>
      <c r="AI118" s="1381"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315"/>
      <c r="B119" s="1301"/>
      <c r="C119" s="1302"/>
      <c r="D119" s="1302"/>
      <c r="E119" s="1302"/>
      <c r="F119" s="1303"/>
      <c r="G119" s="1268"/>
      <c r="H119" s="1268"/>
      <c r="I119" s="1268"/>
      <c r="J119" s="1443"/>
      <c r="K119" s="1268"/>
      <c r="L119" s="1454"/>
      <c r="M119" s="1456"/>
      <c r="N119" s="1399" t="str">
        <f>IF('別紙様式2-2（４・５月分）'!Q93="","",'別紙様式2-2（４・５月分）'!Q93)</f>
        <v/>
      </c>
      <c r="O119" s="1420"/>
      <c r="P119" s="1426"/>
      <c r="Q119" s="1427"/>
      <c r="R119" s="1428"/>
      <c r="S119" s="1430"/>
      <c r="T119" s="1432"/>
      <c r="U119" s="1577"/>
      <c r="V119" s="1436"/>
      <c r="W119" s="1438"/>
      <c r="X119" s="1575"/>
      <c r="Y119" s="1378"/>
      <c r="Z119" s="1575"/>
      <c r="AA119" s="1378"/>
      <c r="AB119" s="1575"/>
      <c r="AC119" s="1378"/>
      <c r="AD119" s="1575"/>
      <c r="AE119" s="1378"/>
      <c r="AF119" s="1378"/>
      <c r="AG119" s="1378"/>
      <c r="AH119" s="1380"/>
      <c r="AI119" s="1382"/>
      <c r="AJ119" s="1569"/>
      <c r="AK119" s="1571"/>
      <c r="AL119" s="1573"/>
      <c r="AM119" s="1564"/>
      <c r="AN119" s="1566"/>
      <c r="AO119" s="1394"/>
      <c r="AP119" s="1567"/>
      <c r="AQ119" s="1394"/>
      <c r="AR119" s="1536"/>
      <c r="AS119" s="1539"/>
      <c r="AT119" s="1537" t="str">
        <f t="shared" ref="AT119" si="98">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1"/>
      <c r="C120" s="1302"/>
      <c r="D120" s="1302"/>
      <c r="E120" s="1302"/>
      <c r="F120" s="1303"/>
      <c r="G120" s="1268"/>
      <c r="H120" s="1268"/>
      <c r="I120" s="1268"/>
      <c r="J120" s="1443"/>
      <c r="K120" s="1268"/>
      <c r="L120" s="1454"/>
      <c r="M120" s="1456"/>
      <c r="N120" s="1400"/>
      <c r="O120" s="1421"/>
      <c r="P120" s="1401" t="s">
        <v>2179</v>
      </c>
      <c r="Q120" s="1460" t="str">
        <f>IFERROR(VLOOKUP('別紙様式2-2（４・５月分）'!AR92,【参考】数式用!$AT$5:$AV$22,3,FALSE),"")</f>
        <v/>
      </c>
      <c r="R120" s="1405" t="s">
        <v>2190</v>
      </c>
      <c r="S120" s="1447" t="str">
        <f>IFERROR(VLOOKUP(K118,【参考】数式用!$A$5:$AB$27,MATCH(Q120,【参考】数式用!$B$4:$AB$4,0)+1,0),"")</f>
        <v/>
      </c>
      <c r="T120" s="1409" t="s">
        <v>2267</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2172</v>
      </c>
      <c r="AF120" s="1397" t="s">
        <v>24</v>
      </c>
      <c r="AG120" s="1397" t="str">
        <f>IF(X120&gt;=1,(AB120*12+AD120)-(X120*12+Z120)+1,"")</f>
        <v/>
      </c>
      <c r="AH120" s="1365" t="s">
        <v>38</v>
      </c>
      <c r="AI120" s="1489" t="str">
        <f t="shared" ref="AI120" si="99">IFERROR(ROUNDDOWN(ROUND(L118*V120,0)*M118,0)*AG120,"")</f>
        <v/>
      </c>
      <c r="AJ120" s="1553" t="str">
        <f>IFERROR(ROUNDDOWN(ROUND((L118*(V120-AX118)),0)*M118,0)*AG120,"")</f>
        <v/>
      </c>
      <c r="AK120" s="1371"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IF(AND(AB118&lt;&gt;7,AD118&lt;&gt;3),"V列に色付け","")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316"/>
      <c r="B121" s="1439"/>
      <c r="C121" s="1440"/>
      <c r="D121" s="1440"/>
      <c r="E121" s="1440"/>
      <c r="F121" s="1441"/>
      <c r="G121" s="1269"/>
      <c r="H121" s="1269"/>
      <c r="I121" s="1269"/>
      <c r="J121" s="1444"/>
      <c r="K121" s="1269"/>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66"/>
      <c r="AI121" s="1490"/>
      <c r="AJ121" s="1554"/>
      <c r="AK121" s="1372"/>
      <c r="AL121" s="1556"/>
      <c r="AM121" s="1558"/>
      <c r="AN121" s="1550"/>
      <c r="AO121" s="1530"/>
      <c r="AP121" s="1552"/>
      <c r="AQ121" s="1530"/>
      <c r="AR121" s="1532"/>
      <c r="AS121" s="153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42" t="str">
        <f>IF(基本情報入力シート!X81="","",基本情報入力シート!X81)</f>
        <v/>
      </c>
      <c r="K122" s="1267"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2258</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7" t="s">
        <v>10</v>
      </c>
      <c r="Z122" s="1574">
        <f>'別紙様式2-3（６月以降分）'!Z122</f>
        <v>6</v>
      </c>
      <c r="AA122" s="1377" t="s">
        <v>45</v>
      </c>
      <c r="AB122" s="1574">
        <f>'別紙様式2-3（６月以降分）'!AB122</f>
        <v>7</v>
      </c>
      <c r="AC122" s="1377" t="s">
        <v>10</v>
      </c>
      <c r="AD122" s="1574">
        <f>'別紙様式2-3（６月以降分）'!AD122</f>
        <v>3</v>
      </c>
      <c r="AE122" s="1377" t="s">
        <v>2172</v>
      </c>
      <c r="AF122" s="1377" t="s">
        <v>24</v>
      </c>
      <c r="AG122" s="1377">
        <f>IF(X122&gt;=1,(AB122*12+AD122)-(X122*12+Z122)+1,"")</f>
        <v>10</v>
      </c>
      <c r="AH122" s="1379" t="s">
        <v>38</v>
      </c>
      <c r="AI122" s="1381"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315"/>
      <c r="B123" s="1301"/>
      <c r="C123" s="1302"/>
      <c r="D123" s="1302"/>
      <c r="E123" s="1302"/>
      <c r="F123" s="1303"/>
      <c r="G123" s="1268"/>
      <c r="H123" s="1268"/>
      <c r="I123" s="1268"/>
      <c r="J123" s="1443"/>
      <c r="K123" s="1268"/>
      <c r="L123" s="1454"/>
      <c r="M123" s="1463"/>
      <c r="N123" s="1399" t="str">
        <f>IF('別紙様式2-2（４・５月分）'!Q96="","",'別紙様式2-2（４・５月分）'!Q96)</f>
        <v/>
      </c>
      <c r="O123" s="1420"/>
      <c r="P123" s="1426"/>
      <c r="Q123" s="1427"/>
      <c r="R123" s="1428"/>
      <c r="S123" s="1430"/>
      <c r="T123" s="1432"/>
      <c r="U123" s="1577"/>
      <c r="V123" s="1436"/>
      <c r="W123" s="1438"/>
      <c r="X123" s="1575"/>
      <c r="Y123" s="1378"/>
      <c r="Z123" s="1575"/>
      <c r="AA123" s="1378"/>
      <c r="AB123" s="1575"/>
      <c r="AC123" s="1378"/>
      <c r="AD123" s="1575"/>
      <c r="AE123" s="1378"/>
      <c r="AF123" s="1378"/>
      <c r="AG123" s="1378"/>
      <c r="AH123" s="1380"/>
      <c r="AI123" s="1382"/>
      <c r="AJ123" s="1569"/>
      <c r="AK123" s="1571"/>
      <c r="AL123" s="1573"/>
      <c r="AM123" s="1564"/>
      <c r="AN123" s="1566"/>
      <c r="AO123" s="1394"/>
      <c r="AP123" s="1567"/>
      <c r="AQ123" s="1394"/>
      <c r="AR123" s="1536"/>
      <c r="AS123" s="1539"/>
      <c r="AT123" s="1537" t="str">
        <f t="shared" ref="AT123" si="102">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1"/>
      <c r="C124" s="1302"/>
      <c r="D124" s="1302"/>
      <c r="E124" s="1302"/>
      <c r="F124" s="1303"/>
      <c r="G124" s="1268"/>
      <c r="H124" s="1268"/>
      <c r="I124" s="1268"/>
      <c r="J124" s="1443"/>
      <c r="K124" s="1268"/>
      <c r="L124" s="1454"/>
      <c r="M124" s="1463"/>
      <c r="N124" s="1400"/>
      <c r="O124" s="1421"/>
      <c r="P124" s="1401" t="s">
        <v>2179</v>
      </c>
      <c r="Q124" s="1460" t="str">
        <f>IFERROR(VLOOKUP('別紙様式2-2（４・５月分）'!AR95,【参考】数式用!$AT$5:$AV$22,3,FALSE),"")</f>
        <v/>
      </c>
      <c r="R124" s="1405" t="s">
        <v>2190</v>
      </c>
      <c r="S124" s="1407" t="str">
        <f>IFERROR(VLOOKUP(K122,【参考】数式用!$A$5:$AB$27,MATCH(Q124,【参考】数式用!$B$4:$AB$4,0)+1,0),"")</f>
        <v/>
      </c>
      <c r="T124" s="1409" t="s">
        <v>2267</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2172</v>
      </c>
      <c r="AF124" s="1397" t="s">
        <v>24</v>
      </c>
      <c r="AG124" s="1397" t="str">
        <f>IF(X124&gt;=1,(AB124*12+AD124)-(X124*12+Z124)+1,"")</f>
        <v/>
      </c>
      <c r="AH124" s="1365" t="s">
        <v>38</v>
      </c>
      <c r="AI124" s="1489" t="str">
        <f t="shared" ref="AI124" si="103">IFERROR(ROUNDDOWN(ROUND(L122*V124,0)*M122,0)*AG124,"")</f>
        <v/>
      </c>
      <c r="AJ124" s="1553" t="str">
        <f>IFERROR(ROUNDDOWN(ROUND((L122*(V124-AX122)),0)*M122,0)*AG124,"")</f>
        <v/>
      </c>
      <c r="AK124" s="1371"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IF(AND(AB122&lt;&gt;7,AD122&lt;&gt;3),"V列に色付け","")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316"/>
      <c r="B125" s="1439"/>
      <c r="C125" s="1440"/>
      <c r="D125" s="1440"/>
      <c r="E125" s="1440"/>
      <c r="F125" s="1441"/>
      <c r="G125" s="1269"/>
      <c r="H125" s="1269"/>
      <c r="I125" s="1269"/>
      <c r="J125" s="1444"/>
      <c r="K125" s="1269"/>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66"/>
      <c r="AI125" s="1490"/>
      <c r="AJ125" s="1554"/>
      <c r="AK125" s="1372"/>
      <c r="AL125" s="1556"/>
      <c r="AM125" s="1558"/>
      <c r="AN125" s="1550"/>
      <c r="AO125" s="1530"/>
      <c r="AP125" s="1552"/>
      <c r="AQ125" s="1530"/>
      <c r="AR125" s="1532"/>
      <c r="AS125" s="153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314">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43"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2258</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7" t="s">
        <v>10</v>
      </c>
      <c r="Z126" s="1574">
        <f>'別紙様式2-3（６月以降分）'!Z126</f>
        <v>6</v>
      </c>
      <c r="AA126" s="1377" t="s">
        <v>45</v>
      </c>
      <c r="AB126" s="1574">
        <f>'別紙様式2-3（６月以降分）'!AB126</f>
        <v>7</v>
      </c>
      <c r="AC126" s="1377" t="s">
        <v>10</v>
      </c>
      <c r="AD126" s="1574">
        <f>'別紙様式2-3（６月以降分）'!AD126</f>
        <v>3</v>
      </c>
      <c r="AE126" s="1377" t="s">
        <v>2172</v>
      </c>
      <c r="AF126" s="1377" t="s">
        <v>24</v>
      </c>
      <c r="AG126" s="1377">
        <f>IF(X126&gt;=1,(AB126*12+AD126)-(X126*12+Z126)+1,"")</f>
        <v>10</v>
      </c>
      <c r="AH126" s="1379" t="s">
        <v>38</v>
      </c>
      <c r="AI126" s="1381"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315"/>
      <c r="B127" s="1301"/>
      <c r="C127" s="1302"/>
      <c r="D127" s="1302"/>
      <c r="E127" s="1302"/>
      <c r="F127" s="1303"/>
      <c r="G127" s="1268"/>
      <c r="H127" s="1268"/>
      <c r="I127" s="1268"/>
      <c r="J127" s="1443"/>
      <c r="K127" s="1268"/>
      <c r="L127" s="1454"/>
      <c r="M127" s="1456"/>
      <c r="N127" s="1399" t="str">
        <f>IF('別紙様式2-2（４・５月分）'!Q99="","",'別紙様式2-2（４・５月分）'!Q99)</f>
        <v/>
      </c>
      <c r="O127" s="1420"/>
      <c r="P127" s="1426"/>
      <c r="Q127" s="1427"/>
      <c r="R127" s="1428"/>
      <c r="S127" s="1430"/>
      <c r="T127" s="1432"/>
      <c r="U127" s="1577"/>
      <c r="V127" s="1436"/>
      <c r="W127" s="1438"/>
      <c r="X127" s="1575"/>
      <c r="Y127" s="1378"/>
      <c r="Z127" s="1575"/>
      <c r="AA127" s="1378"/>
      <c r="AB127" s="1575"/>
      <c r="AC127" s="1378"/>
      <c r="AD127" s="1575"/>
      <c r="AE127" s="1378"/>
      <c r="AF127" s="1378"/>
      <c r="AG127" s="1378"/>
      <c r="AH127" s="1380"/>
      <c r="AI127" s="1382"/>
      <c r="AJ127" s="1569"/>
      <c r="AK127" s="1571"/>
      <c r="AL127" s="1573"/>
      <c r="AM127" s="1564"/>
      <c r="AN127" s="1566"/>
      <c r="AO127" s="1394"/>
      <c r="AP127" s="1567"/>
      <c r="AQ127" s="1394"/>
      <c r="AR127" s="1536"/>
      <c r="AS127" s="1539"/>
      <c r="AT127" s="1537" t="str">
        <f t="shared" ref="AT127" si="106">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1"/>
      <c r="C128" s="1302"/>
      <c r="D128" s="1302"/>
      <c r="E128" s="1302"/>
      <c r="F128" s="1303"/>
      <c r="G128" s="1268"/>
      <c r="H128" s="1268"/>
      <c r="I128" s="1268"/>
      <c r="J128" s="1443"/>
      <c r="K128" s="1268"/>
      <c r="L128" s="1454"/>
      <c r="M128" s="1456"/>
      <c r="N128" s="1400"/>
      <c r="O128" s="1421"/>
      <c r="P128" s="1401" t="s">
        <v>2179</v>
      </c>
      <c r="Q128" s="1460" t="str">
        <f>IFERROR(VLOOKUP('別紙様式2-2（４・５月分）'!AR98,【参考】数式用!$AT$5:$AV$22,3,FALSE),"")</f>
        <v/>
      </c>
      <c r="R128" s="1405" t="s">
        <v>2190</v>
      </c>
      <c r="S128" s="1447" t="str">
        <f>IFERROR(VLOOKUP(K126,【参考】数式用!$A$5:$AB$27,MATCH(Q128,【参考】数式用!$B$4:$AB$4,0)+1,0),"")</f>
        <v/>
      </c>
      <c r="T128" s="1409" t="s">
        <v>2267</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2172</v>
      </c>
      <c r="AF128" s="1397" t="s">
        <v>24</v>
      </c>
      <c r="AG128" s="1397" t="str">
        <f>IF(X128&gt;=1,(AB128*12+AD128)-(X128*12+Z128)+1,"")</f>
        <v/>
      </c>
      <c r="AH128" s="1365" t="s">
        <v>38</v>
      </c>
      <c r="AI128" s="1489" t="str">
        <f t="shared" ref="AI128" si="107">IFERROR(ROUNDDOWN(ROUND(L126*V128,0)*M126,0)*AG128,"")</f>
        <v/>
      </c>
      <c r="AJ128" s="1553" t="str">
        <f>IFERROR(ROUNDDOWN(ROUND((L126*(V128-AX126)),0)*M126,0)*AG128,"")</f>
        <v/>
      </c>
      <c r="AK128" s="1371"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IF(AND(AB126&lt;&gt;7,AD126&lt;&gt;3),"V列に色付け","")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316"/>
      <c r="B129" s="1439"/>
      <c r="C129" s="1440"/>
      <c r="D129" s="1440"/>
      <c r="E129" s="1440"/>
      <c r="F129" s="1441"/>
      <c r="G129" s="1269"/>
      <c r="H129" s="1269"/>
      <c r="I129" s="1269"/>
      <c r="J129" s="1444"/>
      <c r="K129" s="1269"/>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66"/>
      <c r="AI129" s="1490"/>
      <c r="AJ129" s="1554"/>
      <c r="AK129" s="1372"/>
      <c r="AL129" s="1556"/>
      <c r="AM129" s="1558"/>
      <c r="AN129" s="1550"/>
      <c r="AO129" s="1530"/>
      <c r="AP129" s="1552"/>
      <c r="AQ129" s="1530"/>
      <c r="AR129" s="1532"/>
      <c r="AS129" s="153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42" t="str">
        <f>IF(基本情報入力シート!X83="","",基本情報入力シート!X83)</f>
        <v/>
      </c>
      <c r="K130" s="1267"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2258</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7" t="s">
        <v>10</v>
      </c>
      <c r="Z130" s="1574">
        <f>'別紙様式2-3（６月以降分）'!Z130</f>
        <v>6</v>
      </c>
      <c r="AA130" s="1377" t="s">
        <v>45</v>
      </c>
      <c r="AB130" s="1574">
        <f>'別紙様式2-3（６月以降分）'!AB130</f>
        <v>7</v>
      </c>
      <c r="AC130" s="1377" t="s">
        <v>10</v>
      </c>
      <c r="AD130" s="1574">
        <f>'別紙様式2-3（６月以降分）'!AD130</f>
        <v>3</v>
      </c>
      <c r="AE130" s="1377" t="s">
        <v>2172</v>
      </c>
      <c r="AF130" s="1377" t="s">
        <v>24</v>
      </c>
      <c r="AG130" s="1377">
        <f>IF(X130&gt;=1,(AB130*12+AD130)-(X130*12+Z130)+1,"")</f>
        <v>10</v>
      </c>
      <c r="AH130" s="1379" t="s">
        <v>38</v>
      </c>
      <c r="AI130" s="1381"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315"/>
      <c r="B131" s="1301"/>
      <c r="C131" s="1302"/>
      <c r="D131" s="1302"/>
      <c r="E131" s="1302"/>
      <c r="F131" s="1303"/>
      <c r="G131" s="1268"/>
      <c r="H131" s="1268"/>
      <c r="I131" s="1268"/>
      <c r="J131" s="1443"/>
      <c r="K131" s="1268"/>
      <c r="L131" s="1454"/>
      <c r="M131" s="1463"/>
      <c r="N131" s="1399" t="str">
        <f>IF('別紙様式2-2（４・５月分）'!Q102="","",'別紙様式2-2（４・５月分）'!Q102)</f>
        <v/>
      </c>
      <c r="O131" s="1420"/>
      <c r="P131" s="1426"/>
      <c r="Q131" s="1427"/>
      <c r="R131" s="1428"/>
      <c r="S131" s="1430"/>
      <c r="T131" s="1432"/>
      <c r="U131" s="1577"/>
      <c r="V131" s="1436"/>
      <c r="W131" s="1438"/>
      <c r="X131" s="1575"/>
      <c r="Y131" s="1378"/>
      <c r="Z131" s="1575"/>
      <c r="AA131" s="1378"/>
      <c r="AB131" s="1575"/>
      <c r="AC131" s="1378"/>
      <c r="AD131" s="1575"/>
      <c r="AE131" s="1378"/>
      <c r="AF131" s="1378"/>
      <c r="AG131" s="1378"/>
      <c r="AH131" s="1380"/>
      <c r="AI131" s="1382"/>
      <c r="AJ131" s="1569"/>
      <c r="AK131" s="1571"/>
      <c r="AL131" s="1573"/>
      <c r="AM131" s="1564"/>
      <c r="AN131" s="1566"/>
      <c r="AO131" s="1394"/>
      <c r="AP131" s="1567"/>
      <c r="AQ131" s="1394"/>
      <c r="AR131" s="1536"/>
      <c r="AS131" s="1539"/>
      <c r="AT131" s="1537" t="str">
        <f t="shared" ref="AT131" si="110">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1"/>
      <c r="C132" s="1302"/>
      <c r="D132" s="1302"/>
      <c r="E132" s="1302"/>
      <c r="F132" s="1303"/>
      <c r="G132" s="1268"/>
      <c r="H132" s="1268"/>
      <c r="I132" s="1268"/>
      <c r="J132" s="1443"/>
      <c r="K132" s="1268"/>
      <c r="L132" s="1454"/>
      <c r="M132" s="1463"/>
      <c r="N132" s="1400"/>
      <c r="O132" s="1421"/>
      <c r="P132" s="1401" t="s">
        <v>2179</v>
      </c>
      <c r="Q132" s="1460" t="str">
        <f>IFERROR(VLOOKUP('別紙様式2-2（４・５月分）'!AR101,【参考】数式用!$AT$5:$AV$22,3,FALSE),"")</f>
        <v/>
      </c>
      <c r="R132" s="1405" t="s">
        <v>2190</v>
      </c>
      <c r="S132" s="1407" t="str">
        <f>IFERROR(VLOOKUP(K130,【参考】数式用!$A$5:$AB$27,MATCH(Q132,【参考】数式用!$B$4:$AB$4,0)+1,0),"")</f>
        <v/>
      </c>
      <c r="T132" s="1409" t="s">
        <v>2267</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2172</v>
      </c>
      <c r="AF132" s="1397" t="s">
        <v>24</v>
      </c>
      <c r="AG132" s="1397" t="str">
        <f>IF(X132&gt;=1,(AB132*12+AD132)-(X132*12+Z132)+1,"")</f>
        <v/>
      </c>
      <c r="AH132" s="1365" t="s">
        <v>38</v>
      </c>
      <c r="AI132" s="1489" t="str">
        <f t="shared" ref="AI132" si="111">IFERROR(ROUNDDOWN(ROUND(L130*V132,0)*M130,0)*AG132,"")</f>
        <v/>
      </c>
      <c r="AJ132" s="1553" t="str">
        <f>IFERROR(ROUNDDOWN(ROUND((L130*(V132-AX130)),0)*M130,0)*AG132,"")</f>
        <v/>
      </c>
      <c r="AK132" s="1371"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IF(AND(AB130&lt;&gt;7,AD130&lt;&gt;3),"V列に色付け","")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316"/>
      <c r="B133" s="1439"/>
      <c r="C133" s="1440"/>
      <c r="D133" s="1440"/>
      <c r="E133" s="1440"/>
      <c r="F133" s="1441"/>
      <c r="G133" s="1269"/>
      <c r="H133" s="1269"/>
      <c r="I133" s="1269"/>
      <c r="J133" s="1444"/>
      <c r="K133" s="1269"/>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66"/>
      <c r="AI133" s="1490"/>
      <c r="AJ133" s="1554"/>
      <c r="AK133" s="1372"/>
      <c r="AL133" s="1556"/>
      <c r="AM133" s="1558"/>
      <c r="AN133" s="1550"/>
      <c r="AO133" s="1530"/>
      <c r="AP133" s="1552"/>
      <c r="AQ133" s="1530"/>
      <c r="AR133" s="1532"/>
      <c r="AS133" s="153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314">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43"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2258</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7" t="s">
        <v>10</v>
      </c>
      <c r="Z134" s="1574">
        <f>'別紙様式2-3（６月以降分）'!Z134</f>
        <v>6</v>
      </c>
      <c r="AA134" s="1377" t="s">
        <v>45</v>
      </c>
      <c r="AB134" s="1574">
        <f>'別紙様式2-3（６月以降分）'!AB134</f>
        <v>7</v>
      </c>
      <c r="AC134" s="1377" t="s">
        <v>10</v>
      </c>
      <c r="AD134" s="1574">
        <f>'別紙様式2-3（６月以降分）'!AD134</f>
        <v>3</v>
      </c>
      <c r="AE134" s="1377" t="s">
        <v>2172</v>
      </c>
      <c r="AF134" s="1377" t="s">
        <v>24</v>
      </c>
      <c r="AG134" s="1377">
        <f>IF(X134&gt;=1,(AB134*12+AD134)-(X134*12+Z134)+1,"")</f>
        <v>10</v>
      </c>
      <c r="AH134" s="1379" t="s">
        <v>38</v>
      </c>
      <c r="AI134" s="1381"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315"/>
      <c r="B135" s="1301"/>
      <c r="C135" s="1302"/>
      <c r="D135" s="1302"/>
      <c r="E135" s="1302"/>
      <c r="F135" s="1303"/>
      <c r="G135" s="1268"/>
      <c r="H135" s="1268"/>
      <c r="I135" s="1268"/>
      <c r="J135" s="1443"/>
      <c r="K135" s="1268"/>
      <c r="L135" s="1454"/>
      <c r="M135" s="1456"/>
      <c r="N135" s="1399" t="str">
        <f>IF('別紙様式2-2（４・５月分）'!Q105="","",'別紙様式2-2（４・５月分）'!Q105)</f>
        <v/>
      </c>
      <c r="O135" s="1420"/>
      <c r="P135" s="1426"/>
      <c r="Q135" s="1427"/>
      <c r="R135" s="1428"/>
      <c r="S135" s="1430"/>
      <c r="T135" s="1432"/>
      <c r="U135" s="1577"/>
      <c r="V135" s="1436"/>
      <c r="W135" s="1438"/>
      <c r="X135" s="1575"/>
      <c r="Y135" s="1378"/>
      <c r="Z135" s="1575"/>
      <c r="AA135" s="1378"/>
      <c r="AB135" s="1575"/>
      <c r="AC135" s="1378"/>
      <c r="AD135" s="1575"/>
      <c r="AE135" s="1378"/>
      <c r="AF135" s="1378"/>
      <c r="AG135" s="1378"/>
      <c r="AH135" s="1380"/>
      <c r="AI135" s="1382"/>
      <c r="AJ135" s="1569"/>
      <c r="AK135" s="1571"/>
      <c r="AL135" s="1573"/>
      <c r="AM135" s="1564"/>
      <c r="AN135" s="1566"/>
      <c r="AO135" s="1394"/>
      <c r="AP135" s="1567"/>
      <c r="AQ135" s="1394"/>
      <c r="AR135" s="1536"/>
      <c r="AS135" s="1539"/>
      <c r="AT135" s="1537" t="str">
        <f t="shared" ref="AT135" si="114">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1"/>
      <c r="C136" s="1302"/>
      <c r="D136" s="1302"/>
      <c r="E136" s="1302"/>
      <c r="F136" s="1303"/>
      <c r="G136" s="1268"/>
      <c r="H136" s="1268"/>
      <c r="I136" s="1268"/>
      <c r="J136" s="1443"/>
      <c r="K136" s="1268"/>
      <c r="L136" s="1454"/>
      <c r="M136" s="1456"/>
      <c r="N136" s="1400"/>
      <c r="O136" s="1421"/>
      <c r="P136" s="1401" t="s">
        <v>2179</v>
      </c>
      <c r="Q136" s="1460" t="str">
        <f>IFERROR(VLOOKUP('別紙様式2-2（４・５月分）'!AR104,【参考】数式用!$AT$5:$AV$22,3,FALSE),"")</f>
        <v/>
      </c>
      <c r="R136" s="1405" t="s">
        <v>2190</v>
      </c>
      <c r="S136" s="1447" t="str">
        <f>IFERROR(VLOOKUP(K134,【参考】数式用!$A$5:$AB$27,MATCH(Q136,【参考】数式用!$B$4:$AB$4,0)+1,0),"")</f>
        <v/>
      </c>
      <c r="T136" s="1409" t="s">
        <v>2267</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2172</v>
      </c>
      <c r="AF136" s="1397" t="s">
        <v>24</v>
      </c>
      <c r="AG136" s="1397" t="str">
        <f>IF(X136&gt;=1,(AB136*12+AD136)-(X136*12+Z136)+1,"")</f>
        <v/>
      </c>
      <c r="AH136" s="1365" t="s">
        <v>38</v>
      </c>
      <c r="AI136" s="1489" t="str">
        <f t="shared" ref="AI136" si="115">IFERROR(ROUNDDOWN(ROUND(L134*V136,0)*M134,0)*AG136,"")</f>
        <v/>
      </c>
      <c r="AJ136" s="1553" t="str">
        <f>IFERROR(ROUNDDOWN(ROUND((L134*(V136-AX134)),0)*M134,0)*AG136,"")</f>
        <v/>
      </c>
      <c r="AK136" s="1371"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IF(AND(AB134&lt;&gt;7,AD134&lt;&gt;3),"V列に色付け","")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316"/>
      <c r="B137" s="1439"/>
      <c r="C137" s="1440"/>
      <c r="D137" s="1440"/>
      <c r="E137" s="1440"/>
      <c r="F137" s="1441"/>
      <c r="G137" s="1269"/>
      <c r="H137" s="1269"/>
      <c r="I137" s="1269"/>
      <c r="J137" s="1444"/>
      <c r="K137" s="1269"/>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66"/>
      <c r="AI137" s="1490"/>
      <c r="AJ137" s="1554"/>
      <c r="AK137" s="1372"/>
      <c r="AL137" s="1556"/>
      <c r="AM137" s="1558"/>
      <c r="AN137" s="1550"/>
      <c r="AO137" s="1530"/>
      <c r="AP137" s="1552"/>
      <c r="AQ137" s="1530"/>
      <c r="AR137" s="1532"/>
      <c r="AS137" s="153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42" t="str">
        <f>IF(基本情報入力シート!X85="","",基本情報入力シート!X85)</f>
        <v/>
      </c>
      <c r="K138" s="1267"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2258</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7" t="s">
        <v>10</v>
      </c>
      <c r="Z138" s="1574">
        <f>'別紙様式2-3（６月以降分）'!Z138</f>
        <v>6</v>
      </c>
      <c r="AA138" s="1377" t="s">
        <v>45</v>
      </c>
      <c r="AB138" s="1574">
        <f>'別紙様式2-3（６月以降分）'!AB138</f>
        <v>7</v>
      </c>
      <c r="AC138" s="1377" t="s">
        <v>10</v>
      </c>
      <c r="AD138" s="1574">
        <f>'別紙様式2-3（６月以降分）'!AD138</f>
        <v>3</v>
      </c>
      <c r="AE138" s="1377" t="s">
        <v>2172</v>
      </c>
      <c r="AF138" s="1377" t="s">
        <v>24</v>
      </c>
      <c r="AG138" s="1377">
        <f>IF(X138&gt;=1,(AB138*12+AD138)-(X138*12+Z138)+1,"")</f>
        <v>10</v>
      </c>
      <c r="AH138" s="1379" t="s">
        <v>38</v>
      </c>
      <c r="AI138" s="1381"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315"/>
      <c r="B139" s="1301"/>
      <c r="C139" s="1302"/>
      <c r="D139" s="1302"/>
      <c r="E139" s="1302"/>
      <c r="F139" s="1303"/>
      <c r="G139" s="1268"/>
      <c r="H139" s="1268"/>
      <c r="I139" s="1268"/>
      <c r="J139" s="1443"/>
      <c r="K139" s="1268"/>
      <c r="L139" s="1454"/>
      <c r="M139" s="1463"/>
      <c r="N139" s="1399" t="str">
        <f>IF('別紙様式2-2（４・５月分）'!Q108="","",'別紙様式2-2（４・５月分）'!Q108)</f>
        <v/>
      </c>
      <c r="O139" s="1420"/>
      <c r="P139" s="1426"/>
      <c r="Q139" s="1427"/>
      <c r="R139" s="1428"/>
      <c r="S139" s="1430"/>
      <c r="T139" s="1432"/>
      <c r="U139" s="1577"/>
      <c r="V139" s="1436"/>
      <c r="W139" s="1438"/>
      <c r="X139" s="1575"/>
      <c r="Y139" s="1378"/>
      <c r="Z139" s="1575"/>
      <c r="AA139" s="1378"/>
      <c r="AB139" s="1575"/>
      <c r="AC139" s="1378"/>
      <c r="AD139" s="1575"/>
      <c r="AE139" s="1378"/>
      <c r="AF139" s="1378"/>
      <c r="AG139" s="1378"/>
      <c r="AH139" s="1380"/>
      <c r="AI139" s="1382"/>
      <c r="AJ139" s="1569"/>
      <c r="AK139" s="1571"/>
      <c r="AL139" s="1573"/>
      <c r="AM139" s="1564"/>
      <c r="AN139" s="1566"/>
      <c r="AO139" s="1394"/>
      <c r="AP139" s="1567"/>
      <c r="AQ139" s="1394"/>
      <c r="AR139" s="1536"/>
      <c r="AS139" s="1539"/>
      <c r="AT139" s="1537" t="str">
        <f t="shared" ref="AT139" si="11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1"/>
      <c r="C140" s="1302"/>
      <c r="D140" s="1302"/>
      <c r="E140" s="1302"/>
      <c r="F140" s="1303"/>
      <c r="G140" s="1268"/>
      <c r="H140" s="1268"/>
      <c r="I140" s="1268"/>
      <c r="J140" s="1443"/>
      <c r="K140" s="1268"/>
      <c r="L140" s="1454"/>
      <c r="M140" s="1463"/>
      <c r="N140" s="1400"/>
      <c r="O140" s="1421"/>
      <c r="P140" s="1401" t="s">
        <v>2179</v>
      </c>
      <c r="Q140" s="1460" t="str">
        <f>IFERROR(VLOOKUP('別紙様式2-2（４・５月分）'!AR107,【参考】数式用!$AT$5:$AV$22,3,FALSE),"")</f>
        <v/>
      </c>
      <c r="R140" s="1405" t="s">
        <v>2190</v>
      </c>
      <c r="S140" s="1407" t="str">
        <f>IFERROR(VLOOKUP(K138,【参考】数式用!$A$5:$AB$27,MATCH(Q140,【参考】数式用!$B$4:$AB$4,0)+1,0),"")</f>
        <v/>
      </c>
      <c r="T140" s="1409" t="s">
        <v>2267</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2172</v>
      </c>
      <c r="AF140" s="1397" t="s">
        <v>24</v>
      </c>
      <c r="AG140" s="1397" t="str">
        <f>IF(X140&gt;=1,(AB140*12+AD140)-(X140*12+Z140)+1,"")</f>
        <v/>
      </c>
      <c r="AH140" s="1365" t="s">
        <v>38</v>
      </c>
      <c r="AI140" s="1489" t="str">
        <f t="shared" ref="AI140" si="119">IFERROR(ROUNDDOWN(ROUND(L138*V140,0)*M138,0)*AG140,"")</f>
        <v/>
      </c>
      <c r="AJ140" s="1553" t="str">
        <f>IFERROR(ROUNDDOWN(ROUND((L138*(V140-AX138)),0)*M138,0)*AG140,"")</f>
        <v/>
      </c>
      <c r="AK140" s="1371"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IF(AND(AB138&lt;&gt;7,AD138&lt;&gt;3),"V列に色付け","")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316"/>
      <c r="B141" s="1439"/>
      <c r="C141" s="1440"/>
      <c r="D141" s="1440"/>
      <c r="E141" s="1440"/>
      <c r="F141" s="1441"/>
      <c r="G141" s="1269"/>
      <c r="H141" s="1269"/>
      <c r="I141" s="1269"/>
      <c r="J141" s="1444"/>
      <c r="K141" s="1269"/>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66"/>
      <c r="AI141" s="1490"/>
      <c r="AJ141" s="1554"/>
      <c r="AK141" s="1372"/>
      <c r="AL141" s="1556"/>
      <c r="AM141" s="1558"/>
      <c r="AN141" s="1550"/>
      <c r="AO141" s="1530"/>
      <c r="AP141" s="1552"/>
      <c r="AQ141" s="1530"/>
      <c r="AR141" s="1532"/>
      <c r="AS141" s="153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314">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43"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2258</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7" t="s">
        <v>10</v>
      </c>
      <c r="Z142" s="1574">
        <f>'別紙様式2-3（６月以降分）'!Z142</f>
        <v>6</v>
      </c>
      <c r="AA142" s="1377" t="s">
        <v>45</v>
      </c>
      <c r="AB142" s="1574">
        <f>'別紙様式2-3（６月以降分）'!AB142</f>
        <v>7</v>
      </c>
      <c r="AC142" s="1377" t="s">
        <v>10</v>
      </c>
      <c r="AD142" s="1574">
        <f>'別紙様式2-3（６月以降分）'!AD142</f>
        <v>3</v>
      </c>
      <c r="AE142" s="1377" t="s">
        <v>2172</v>
      </c>
      <c r="AF142" s="1377" t="s">
        <v>24</v>
      </c>
      <c r="AG142" s="1377">
        <f>IF(X142&gt;=1,(AB142*12+AD142)-(X142*12+Z142)+1,"")</f>
        <v>10</v>
      </c>
      <c r="AH142" s="1379" t="s">
        <v>38</v>
      </c>
      <c r="AI142" s="1381"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315"/>
      <c r="B143" s="1301"/>
      <c r="C143" s="1302"/>
      <c r="D143" s="1302"/>
      <c r="E143" s="1302"/>
      <c r="F143" s="1303"/>
      <c r="G143" s="1268"/>
      <c r="H143" s="1268"/>
      <c r="I143" s="1268"/>
      <c r="J143" s="1443"/>
      <c r="K143" s="1268"/>
      <c r="L143" s="1454"/>
      <c r="M143" s="1456"/>
      <c r="N143" s="1399" t="str">
        <f>IF('別紙様式2-2（４・５月分）'!Q111="","",'別紙様式2-2（４・５月分）'!Q111)</f>
        <v/>
      </c>
      <c r="O143" s="1420"/>
      <c r="P143" s="1426"/>
      <c r="Q143" s="1427"/>
      <c r="R143" s="1428"/>
      <c r="S143" s="1430"/>
      <c r="T143" s="1432"/>
      <c r="U143" s="1577"/>
      <c r="V143" s="1436"/>
      <c r="W143" s="1438"/>
      <c r="X143" s="1575"/>
      <c r="Y143" s="1378"/>
      <c r="Z143" s="1575"/>
      <c r="AA143" s="1378"/>
      <c r="AB143" s="1575"/>
      <c r="AC143" s="1378"/>
      <c r="AD143" s="1575"/>
      <c r="AE143" s="1378"/>
      <c r="AF143" s="1378"/>
      <c r="AG143" s="1378"/>
      <c r="AH143" s="1380"/>
      <c r="AI143" s="1382"/>
      <c r="AJ143" s="1569"/>
      <c r="AK143" s="1571"/>
      <c r="AL143" s="1573"/>
      <c r="AM143" s="1564"/>
      <c r="AN143" s="1566"/>
      <c r="AO143" s="1394"/>
      <c r="AP143" s="1567"/>
      <c r="AQ143" s="1394"/>
      <c r="AR143" s="1536"/>
      <c r="AS143" s="1539"/>
      <c r="AT143" s="1537" t="str">
        <f t="shared" ref="AT143" si="122">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1"/>
      <c r="C144" s="1302"/>
      <c r="D144" s="1302"/>
      <c r="E144" s="1302"/>
      <c r="F144" s="1303"/>
      <c r="G144" s="1268"/>
      <c r="H144" s="1268"/>
      <c r="I144" s="1268"/>
      <c r="J144" s="1443"/>
      <c r="K144" s="1268"/>
      <c r="L144" s="1454"/>
      <c r="M144" s="1456"/>
      <c r="N144" s="1400"/>
      <c r="O144" s="1421"/>
      <c r="P144" s="1401" t="s">
        <v>2179</v>
      </c>
      <c r="Q144" s="1460" t="str">
        <f>IFERROR(VLOOKUP('別紙様式2-2（４・５月分）'!AR110,【参考】数式用!$AT$5:$AV$22,3,FALSE),"")</f>
        <v/>
      </c>
      <c r="R144" s="1405" t="s">
        <v>2190</v>
      </c>
      <c r="S144" s="1447" t="str">
        <f>IFERROR(VLOOKUP(K142,【参考】数式用!$A$5:$AB$27,MATCH(Q144,【参考】数式用!$B$4:$AB$4,0)+1,0),"")</f>
        <v/>
      </c>
      <c r="T144" s="1409" t="s">
        <v>2267</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2172</v>
      </c>
      <c r="AF144" s="1397" t="s">
        <v>24</v>
      </c>
      <c r="AG144" s="1397" t="str">
        <f>IF(X144&gt;=1,(AB144*12+AD144)-(X144*12+Z144)+1,"")</f>
        <v/>
      </c>
      <c r="AH144" s="1365" t="s">
        <v>38</v>
      </c>
      <c r="AI144" s="1489" t="str">
        <f t="shared" ref="AI144" si="123">IFERROR(ROUNDDOWN(ROUND(L142*V144,0)*M142,0)*AG144,"")</f>
        <v/>
      </c>
      <c r="AJ144" s="1553" t="str">
        <f>IFERROR(ROUNDDOWN(ROUND((L142*(V144-AX142)),0)*M142,0)*AG144,"")</f>
        <v/>
      </c>
      <c r="AK144" s="1371"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IF(AND(AB142&lt;&gt;7,AD142&lt;&gt;3),"V列に色付け","")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316"/>
      <c r="B145" s="1439"/>
      <c r="C145" s="1440"/>
      <c r="D145" s="1440"/>
      <c r="E145" s="1440"/>
      <c r="F145" s="1441"/>
      <c r="G145" s="1269"/>
      <c r="H145" s="1269"/>
      <c r="I145" s="1269"/>
      <c r="J145" s="1444"/>
      <c r="K145" s="1269"/>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66"/>
      <c r="AI145" s="1490"/>
      <c r="AJ145" s="1554"/>
      <c r="AK145" s="1372"/>
      <c r="AL145" s="1556"/>
      <c r="AM145" s="1558"/>
      <c r="AN145" s="1550"/>
      <c r="AO145" s="1530"/>
      <c r="AP145" s="1552"/>
      <c r="AQ145" s="1530"/>
      <c r="AR145" s="1532"/>
      <c r="AS145" s="153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42" t="str">
        <f>IF(基本情報入力シート!X87="","",基本情報入力シート!X87)</f>
        <v/>
      </c>
      <c r="K146" s="1267"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2258</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7" t="s">
        <v>10</v>
      </c>
      <c r="Z146" s="1574">
        <f>'別紙様式2-3（６月以降分）'!Z146</f>
        <v>6</v>
      </c>
      <c r="AA146" s="1377" t="s">
        <v>45</v>
      </c>
      <c r="AB146" s="1574">
        <f>'別紙様式2-3（６月以降分）'!AB146</f>
        <v>7</v>
      </c>
      <c r="AC146" s="1377" t="s">
        <v>10</v>
      </c>
      <c r="AD146" s="1574">
        <f>'別紙様式2-3（６月以降分）'!AD146</f>
        <v>3</v>
      </c>
      <c r="AE146" s="1377" t="s">
        <v>2172</v>
      </c>
      <c r="AF146" s="1377" t="s">
        <v>24</v>
      </c>
      <c r="AG146" s="1377">
        <f>IF(X146&gt;=1,(AB146*12+AD146)-(X146*12+Z146)+1,"")</f>
        <v>10</v>
      </c>
      <c r="AH146" s="1379" t="s">
        <v>38</v>
      </c>
      <c r="AI146" s="1381"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315"/>
      <c r="B147" s="1301"/>
      <c r="C147" s="1302"/>
      <c r="D147" s="1302"/>
      <c r="E147" s="1302"/>
      <c r="F147" s="1303"/>
      <c r="G147" s="1268"/>
      <c r="H147" s="1268"/>
      <c r="I147" s="1268"/>
      <c r="J147" s="1443"/>
      <c r="K147" s="1268"/>
      <c r="L147" s="1454"/>
      <c r="M147" s="1463"/>
      <c r="N147" s="1399" t="str">
        <f>IF('別紙様式2-2（４・５月分）'!Q114="","",'別紙様式2-2（４・５月分）'!Q114)</f>
        <v/>
      </c>
      <c r="O147" s="1420"/>
      <c r="P147" s="1426"/>
      <c r="Q147" s="1427"/>
      <c r="R147" s="1428"/>
      <c r="S147" s="1430"/>
      <c r="T147" s="1432"/>
      <c r="U147" s="1577"/>
      <c r="V147" s="1436"/>
      <c r="W147" s="1438"/>
      <c r="X147" s="1575"/>
      <c r="Y147" s="1378"/>
      <c r="Z147" s="1575"/>
      <c r="AA147" s="1378"/>
      <c r="AB147" s="1575"/>
      <c r="AC147" s="1378"/>
      <c r="AD147" s="1575"/>
      <c r="AE147" s="1378"/>
      <c r="AF147" s="1378"/>
      <c r="AG147" s="1378"/>
      <c r="AH147" s="1380"/>
      <c r="AI147" s="1382"/>
      <c r="AJ147" s="1569"/>
      <c r="AK147" s="1571"/>
      <c r="AL147" s="1573"/>
      <c r="AM147" s="1564"/>
      <c r="AN147" s="1566"/>
      <c r="AO147" s="1394"/>
      <c r="AP147" s="1567"/>
      <c r="AQ147" s="1394"/>
      <c r="AR147" s="1536"/>
      <c r="AS147" s="1539"/>
      <c r="AT147" s="1537" t="str">
        <f t="shared" ref="AT147" si="126">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1"/>
      <c r="C148" s="1302"/>
      <c r="D148" s="1302"/>
      <c r="E148" s="1302"/>
      <c r="F148" s="1303"/>
      <c r="G148" s="1268"/>
      <c r="H148" s="1268"/>
      <c r="I148" s="1268"/>
      <c r="J148" s="1443"/>
      <c r="K148" s="1268"/>
      <c r="L148" s="1454"/>
      <c r="M148" s="1463"/>
      <c r="N148" s="1400"/>
      <c r="O148" s="1421"/>
      <c r="P148" s="1401" t="s">
        <v>2179</v>
      </c>
      <c r="Q148" s="1460" t="str">
        <f>IFERROR(VLOOKUP('別紙様式2-2（４・５月分）'!AR113,【参考】数式用!$AT$5:$AV$22,3,FALSE),"")</f>
        <v/>
      </c>
      <c r="R148" s="1405" t="s">
        <v>2190</v>
      </c>
      <c r="S148" s="1407" t="str">
        <f>IFERROR(VLOOKUP(K146,【参考】数式用!$A$5:$AB$27,MATCH(Q148,【参考】数式用!$B$4:$AB$4,0)+1,0),"")</f>
        <v/>
      </c>
      <c r="T148" s="1409" t="s">
        <v>2267</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2172</v>
      </c>
      <c r="AF148" s="1397" t="s">
        <v>24</v>
      </c>
      <c r="AG148" s="1397" t="str">
        <f>IF(X148&gt;=1,(AB148*12+AD148)-(X148*12+Z148)+1,"")</f>
        <v/>
      </c>
      <c r="AH148" s="1365" t="s">
        <v>38</v>
      </c>
      <c r="AI148" s="1489" t="str">
        <f t="shared" ref="AI148" si="127">IFERROR(ROUNDDOWN(ROUND(L146*V148,0)*M146,0)*AG148,"")</f>
        <v/>
      </c>
      <c r="AJ148" s="1553" t="str">
        <f>IFERROR(ROUNDDOWN(ROUND((L146*(V148-AX146)),0)*M146,0)*AG148,"")</f>
        <v/>
      </c>
      <c r="AK148" s="1371"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IF(AND(AB146&lt;&gt;7,AD146&lt;&gt;3),"V列に色付け","")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316"/>
      <c r="B149" s="1439"/>
      <c r="C149" s="1440"/>
      <c r="D149" s="1440"/>
      <c r="E149" s="1440"/>
      <c r="F149" s="1441"/>
      <c r="G149" s="1269"/>
      <c r="H149" s="1269"/>
      <c r="I149" s="1269"/>
      <c r="J149" s="1444"/>
      <c r="K149" s="1269"/>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66"/>
      <c r="AI149" s="1490"/>
      <c r="AJ149" s="1554"/>
      <c r="AK149" s="1372"/>
      <c r="AL149" s="1556"/>
      <c r="AM149" s="1558"/>
      <c r="AN149" s="1550"/>
      <c r="AO149" s="1530"/>
      <c r="AP149" s="1552"/>
      <c r="AQ149" s="1530"/>
      <c r="AR149" s="1532"/>
      <c r="AS149" s="153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314">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43"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2258</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7" t="s">
        <v>10</v>
      </c>
      <c r="Z150" s="1574">
        <f>'別紙様式2-3（６月以降分）'!Z150</f>
        <v>6</v>
      </c>
      <c r="AA150" s="1377" t="s">
        <v>45</v>
      </c>
      <c r="AB150" s="1574">
        <f>'別紙様式2-3（６月以降分）'!AB150</f>
        <v>7</v>
      </c>
      <c r="AC150" s="1377" t="s">
        <v>10</v>
      </c>
      <c r="AD150" s="1574">
        <f>'別紙様式2-3（６月以降分）'!AD150</f>
        <v>3</v>
      </c>
      <c r="AE150" s="1377" t="s">
        <v>2172</v>
      </c>
      <c r="AF150" s="1377" t="s">
        <v>24</v>
      </c>
      <c r="AG150" s="1377">
        <f>IF(X150&gt;=1,(AB150*12+AD150)-(X150*12+Z150)+1,"")</f>
        <v>10</v>
      </c>
      <c r="AH150" s="1379" t="s">
        <v>38</v>
      </c>
      <c r="AI150" s="1381"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315"/>
      <c r="B151" s="1301"/>
      <c r="C151" s="1302"/>
      <c r="D151" s="1302"/>
      <c r="E151" s="1302"/>
      <c r="F151" s="1303"/>
      <c r="G151" s="1268"/>
      <c r="H151" s="1268"/>
      <c r="I151" s="1268"/>
      <c r="J151" s="1443"/>
      <c r="K151" s="1268"/>
      <c r="L151" s="1454"/>
      <c r="M151" s="1456"/>
      <c r="N151" s="1399" t="str">
        <f>IF('別紙様式2-2（４・５月分）'!Q117="","",'別紙様式2-2（４・５月分）'!Q117)</f>
        <v/>
      </c>
      <c r="O151" s="1420"/>
      <c r="P151" s="1426"/>
      <c r="Q151" s="1427"/>
      <c r="R151" s="1428"/>
      <c r="S151" s="1430"/>
      <c r="T151" s="1432"/>
      <c r="U151" s="1577"/>
      <c r="V151" s="1436"/>
      <c r="W151" s="1438"/>
      <c r="X151" s="1575"/>
      <c r="Y151" s="1378"/>
      <c r="Z151" s="1575"/>
      <c r="AA151" s="1378"/>
      <c r="AB151" s="1575"/>
      <c r="AC151" s="1378"/>
      <c r="AD151" s="1575"/>
      <c r="AE151" s="1378"/>
      <c r="AF151" s="1378"/>
      <c r="AG151" s="1378"/>
      <c r="AH151" s="1380"/>
      <c r="AI151" s="1382"/>
      <c r="AJ151" s="1569"/>
      <c r="AK151" s="1571"/>
      <c r="AL151" s="1573"/>
      <c r="AM151" s="1564"/>
      <c r="AN151" s="1566"/>
      <c r="AO151" s="1394"/>
      <c r="AP151" s="1567"/>
      <c r="AQ151" s="1394"/>
      <c r="AR151" s="1536"/>
      <c r="AS151" s="1539"/>
      <c r="AT151" s="1537" t="str">
        <f t="shared" ref="AT151" si="130">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1"/>
      <c r="C152" s="1302"/>
      <c r="D152" s="1302"/>
      <c r="E152" s="1302"/>
      <c r="F152" s="1303"/>
      <c r="G152" s="1268"/>
      <c r="H152" s="1268"/>
      <c r="I152" s="1268"/>
      <c r="J152" s="1443"/>
      <c r="K152" s="1268"/>
      <c r="L152" s="1454"/>
      <c r="M152" s="1456"/>
      <c r="N152" s="1400"/>
      <c r="O152" s="1421"/>
      <c r="P152" s="1401" t="s">
        <v>2179</v>
      </c>
      <c r="Q152" s="1460" t="str">
        <f>IFERROR(VLOOKUP('別紙様式2-2（４・５月分）'!AR116,【参考】数式用!$AT$5:$AV$22,3,FALSE),"")</f>
        <v/>
      </c>
      <c r="R152" s="1405" t="s">
        <v>2190</v>
      </c>
      <c r="S152" s="1447" t="str">
        <f>IFERROR(VLOOKUP(K150,【参考】数式用!$A$5:$AB$27,MATCH(Q152,【参考】数式用!$B$4:$AB$4,0)+1,0),"")</f>
        <v/>
      </c>
      <c r="T152" s="1409" t="s">
        <v>2267</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2172</v>
      </c>
      <c r="AF152" s="1397" t="s">
        <v>24</v>
      </c>
      <c r="AG152" s="1397" t="str">
        <f>IF(X152&gt;=1,(AB152*12+AD152)-(X152*12+Z152)+1,"")</f>
        <v/>
      </c>
      <c r="AH152" s="1365" t="s">
        <v>38</v>
      </c>
      <c r="AI152" s="1489" t="str">
        <f t="shared" ref="AI152" si="131">IFERROR(ROUNDDOWN(ROUND(L150*V152,0)*M150,0)*AG152,"")</f>
        <v/>
      </c>
      <c r="AJ152" s="1553" t="str">
        <f>IFERROR(ROUNDDOWN(ROUND((L150*(V152-AX150)),0)*M150,0)*AG152,"")</f>
        <v/>
      </c>
      <c r="AK152" s="1371"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IF(AND(AB150&lt;&gt;7,AD150&lt;&gt;3),"V列に色付け","")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316"/>
      <c r="B153" s="1439"/>
      <c r="C153" s="1440"/>
      <c r="D153" s="1440"/>
      <c r="E153" s="1440"/>
      <c r="F153" s="1441"/>
      <c r="G153" s="1269"/>
      <c r="H153" s="1269"/>
      <c r="I153" s="1269"/>
      <c r="J153" s="1444"/>
      <c r="K153" s="1269"/>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66"/>
      <c r="AI153" s="1490"/>
      <c r="AJ153" s="1554"/>
      <c r="AK153" s="1372"/>
      <c r="AL153" s="1556"/>
      <c r="AM153" s="1558"/>
      <c r="AN153" s="1550"/>
      <c r="AO153" s="1530"/>
      <c r="AP153" s="1552"/>
      <c r="AQ153" s="1530"/>
      <c r="AR153" s="1532"/>
      <c r="AS153" s="153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42" t="str">
        <f>IF(基本情報入力シート!X89="","",基本情報入力シート!X89)</f>
        <v/>
      </c>
      <c r="K154" s="1267"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2258</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7" t="s">
        <v>10</v>
      </c>
      <c r="Z154" s="1574">
        <f>'別紙様式2-3（６月以降分）'!Z154</f>
        <v>6</v>
      </c>
      <c r="AA154" s="1377" t="s">
        <v>45</v>
      </c>
      <c r="AB154" s="1574">
        <f>'別紙様式2-3（６月以降分）'!AB154</f>
        <v>7</v>
      </c>
      <c r="AC154" s="1377" t="s">
        <v>10</v>
      </c>
      <c r="AD154" s="1574">
        <f>'別紙様式2-3（６月以降分）'!AD154</f>
        <v>3</v>
      </c>
      <c r="AE154" s="1377" t="s">
        <v>2172</v>
      </c>
      <c r="AF154" s="1377" t="s">
        <v>24</v>
      </c>
      <c r="AG154" s="1377">
        <f>IF(X154&gt;=1,(AB154*12+AD154)-(X154*12+Z154)+1,"")</f>
        <v>10</v>
      </c>
      <c r="AH154" s="1379" t="s">
        <v>38</v>
      </c>
      <c r="AI154" s="1381"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315"/>
      <c r="B155" s="1301"/>
      <c r="C155" s="1302"/>
      <c r="D155" s="1302"/>
      <c r="E155" s="1302"/>
      <c r="F155" s="1303"/>
      <c r="G155" s="1268"/>
      <c r="H155" s="1268"/>
      <c r="I155" s="1268"/>
      <c r="J155" s="1443"/>
      <c r="K155" s="1268"/>
      <c r="L155" s="1454"/>
      <c r="M155" s="1463"/>
      <c r="N155" s="1399" t="str">
        <f>IF('別紙様式2-2（４・５月分）'!Q120="","",'別紙様式2-2（４・５月分）'!Q120)</f>
        <v/>
      </c>
      <c r="O155" s="1420"/>
      <c r="P155" s="1426"/>
      <c r="Q155" s="1427"/>
      <c r="R155" s="1428"/>
      <c r="S155" s="1430"/>
      <c r="T155" s="1432"/>
      <c r="U155" s="1577"/>
      <c r="V155" s="1436"/>
      <c r="W155" s="1438"/>
      <c r="X155" s="1575"/>
      <c r="Y155" s="1378"/>
      <c r="Z155" s="1575"/>
      <c r="AA155" s="1378"/>
      <c r="AB155" s="1575"/>
      <c r="AC155" s="1378"/>
      <c r="AD155" s="1575"/>
      <c r="AE155" s="1378"/>
      <c r="AF155" s="1378"/>
      <c r="AG155" s="1378"/>
      <c r="AH155" s="1380"/>
      <c r="AI155" s="1382"/>
      <c r="AJ155" s="1569"/>
      <c r="AK155" s="1571"/>
      <c r="AL155" s="1573"/>
      <c r="AM155" s="1564"/>
      <c r="AN155" s="1566"/>
      <c r="AO155" s="1394"/>
      <c r="AP155" s="1567"/>
      <c r="AQ155" s="1394"/>
      <c r="AR155" s="1536"/>
      <c r="AS155" s="1539"/>
      <c r="AT155" s="1537" t="str">
        <f t="shared" ref="AT155" si="134">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1"/>
      <c r="C156" s="1302"/>
      <c r="D156" s="1302"/>
      <c r="E156" s="1302"/>
      <c r="F156" s="1303"/>
      <c r="G156" s="1268"/>
      <c r="H156" s="1268"/>
      <c r="I156" s="1268"/>
      <c r="J156" s="1443"/>
      <c r="K156" s="1268"/>
      <c r="L156" s="1454"/>
      <c r="M156" s="1463"/>
      <c r="N156" s="1400"/>
      <c r="O156" s="1421"/>
      <c r="P156" s="1401" t="s">
        <v>2179</v>
      </c>
      <c r="Q156" s="1460" t="str">
        <f>IFERROR(VLOOKUP('別紙様式2-2（４・５月分）'!AR119,【参考】数式用!$AT$5:$AV$22,3,FALSE),"")</f>
        <v/>
      </c>
      <c r="R156" s="1405" t="s">
        <v>2190</v>
      </c>
      <c r="S156" s="1407" t="str">
        <f>IFERROR(VLOOKUP(K154,【参考】数式用!$A$5:$AB$27,MATCH(Q156,【参考】数式用!$B$4:$AB$4,0)+1,0),"")</f>
        <v/>
      </c>
      <c r="T156" s="1409" t="s">
        <v>2267</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2172</v>
      </c>
      <c r="AF156" s="1397" t="s">
        <v>24</v>
      </c>
      <c r="AG156" s="1397" t="str">
        <f>IF(X156&gt;=1,(AB156*12+AD156)-(X156*12+Z156)+1,"")</f>
        <v/>
      </c>
      <c r="AH156" s="1365" t="s">
        <v>38</v>
      </c>
      <c r="AI156" s="1489" t="str">
        <f t="shared" ref="AI156" si="135">IFERROR(ROUNDDOWN(ROUND(L154*V156,0)*M154,0)*AG156,"")</f>
        <v/>
      </c>
      <c r="AJ156" s="1553" t="str">
        <f>IFERROR(ROUNDDOWN(ROUND((L154*(V156-AX154)),0)*M154,0)*AG156,"")</f>
        <v/>
      </c>
      <c r="AK156" s="1371"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IF(AND(AB154&lt;&gt;7,AD154&lt;&gt;3),"V列に色付け","")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316"/>
      <c r="B157" s="1439"/>
      <c r="C157" s="1440"/>
      <c r="D157" s="1440"/>
      <c r="E157" s="1440"/>
      <c r="F157" s="1441"/>
      <c r="G157" s="1269"/>
      <c r="H157" s="1269"/>
      <c r="I157" s="1269"/>
      <c r="J157" s="1444"/>
      <c r="K157" s="1269"/>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66"/>
      <c r="AI157" s="1490"/>
      <c r="AJ157" s="1554"/>
      <c r="AK157" s="1372"/>
      <c r="AL157" s="1556"/>
      <c r="AM157" s="1558"/>
      <c r="AN157" s="1550"/>
      <c r="AO157" s="1530"/>
      <c r="AP157" s="1552"/>
      <c r="AQ157" s="1530"/>
      <c r="AR157" s="1532"/>
      <c r="AS157" s="153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314">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43"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2258</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7" t="s">
        <v>10</v>
      </c>
      <c r="Z158" s="1574">
        <f>'別紙様式2-3（６月以降分）'!Z158</f>
        <v>6</v>
      </c>
      <c r="AA158" s="1377" t="s">
        <v>45</v>
      </c>
      <c r="AB158" s="1574">
        <f>'別紙様式2-3（６月以降分）'!AB158</f>
        <v>7</v>
      </c>
      <c r="AC158" s="1377" t="s">
        <v>10</v>
      </c>
      <c r="AD158" s="1574">
        <f>'別紙様式2-3（６月以降分）'!AD158</f>
        <v>3</v>
      </c>
      <c r="AE158" s="1377" t="s">
        <v>2172</v>
      </c>
      <c r="AF158" s="1377" t="s">
        <v>24</v>
      </c>
      <c r="AG158" s="1377">
        <f>IF(X158&gt;=1,(AB158*12+AD158)-(X158*12+Z158)+1,"")</f>
        <v>10</v>
      </c>
      <c r="AH158" s="1379" t="s">
        <v>38</v>
      </c>
      <c r="AI158" s="1381"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315"/>
      <c r="B159" s="1301"/>
      <c r="C159" s="1302"/>
      <c r="D159" s="1302"/>
      <c r="E159" s="1302"/>
      <c r="F159" s="1303"/>
      <c r="G159" s="1268"/>
      <c r="H159" s="1268"/>
      <c r="I159" s="1268"/>
      <c r="J159" s="1443"/>
      <c r="K159" s="1268"/>
      <c r="L159" s="1454"/>
      <c r="M159" s="1456"/>
      <c r="N159" s="1399" t="str">
        <f>IF('別紙様式2-2（４・５月分）'!Q123="","",'別紙様式2-2（４・５月分）'!Q123)</f>
        <v/>
      </c>
      <c r="O159" s="1420"/>
      <c r="P159" s="1426"/>
      <c r="Q159" s="1427"/>
      <c r="R159" s="1428"/>
      <c r="S159" s="1430"/>
      <c r="T159" s="1432"/>
      <c r="U159" s="1577"/>
      <c r="V159" s="1436"/>
      <c r="W159" s="1438"/>
      <c r="X159" s="1575"/>
      <c r="Y159" s="1378"/>
      <c r="Z159" s="1575"/>
      <c r="AA159" s="1378"/>
      <c r="AB159" s="1575"/>
      <c r="AC159" s="1378"/>
      <c r="AD159" s="1575"/>
      <c r="AE159" s="1378"/>
      <c r="AF159" s="1378"/>
      <c r="AG159" s="1378"/>
      <c r="AH159" s="1380"/>
      <c r="AI159" s="1382"/>
      <c r="AJ159" s="1569"/>
      <c r="AK159" s="1571"/>
      <c r="AL159" s="1573"/>
      <c r="AM159" s="1564"/>
      <c r="AN159" s="1566"/>
      <c r="AO159" s="1394"/>
      <c r="AP159" s="1567"/>
      <c r="AQ159" s="1394"/>
      <c r="AR159" s="1536"/>
      <c r="AS159" s="1539"/>
      <c r="AT159" s="1537" t="str">
        <f t="shared" ref="AT159" si="138">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1"/>
      <c r="C160" s="1302"/>
      <c r="D160" s="1302"/>
      <c r="E160" s="1302"/>
      <c r="F160" s="1303"/>
      <c r="G160" s="1268"/>
      <c r="H160" s="1268"/>
      <c r="I160" s="1268"/>
      <c r="J160" s="1443"/>
      <c r="K160" s="1268"/>
      <c r="L160" s="1454"/>
      <c r="M160" s="1456"/>
      <c r="N160" s="1400"/>
      <c r="O160" s="1421"/>
      <c r="P160" s="1401" t="s">
        <v>2179</v>
      </c>
      <c r="Q160" s="1460" t="str">
        <f>IFERROR(VLOOKUP('別紙様式2-2（４・５月分）'!AR122,【参考】数式用!$AT$5:$AV$22,3,FALSE),"")</f>
        <v/>
      </c>
      <c r="R160" s="1405" t="s">
        <v>2190</v>
      </c>
      <c r="S160" s="1447" t="str">
        <f>IFERROR(VLOOKUP(K158,【参考】数式用!$A$5:$AB$27,MATCH(Q160,【参考】数式用!$B$4:$AB$4,0)+1,0),"")</f>
        <v/>
      </c>
      <c r="T160" s="1409" t="s">
        <v>2267</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2172</v>
      </c>
      <c r="AF160" s="1397" t="s">
        <v>24</v>
      </c>
      <c r="AG160" s="1397" t="str">
        <f>IF(X160&gt;=1,(AB160*12+AD160)-(X160*12+Z160)+1,"")</f>
        <v/>
      </c>
      <c r="AH160" s="1365" t="s">
        <v>38</v>
      </c>
      <c r="AI160" s="1489" t="str">
        <f t="shared" ref="AI160" si="139">IFERROR(ROUNDDOWN(ROUND(L158*V160,0)*M158,0)*AG160,"")</f>
        <v/>
      </c>
      <c r="AJ160" s="1553" t="str">
        <f>IFERROR(ROUNDDOWN(ROUND((L158*(V160-AX158)),0)*M158,0)*AG160,"")</f>
        <v/>
      </c>
      <c r="AK160" s="1371"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IF(AND(AB158&lt;&gt;7,AD158&lt;&gt;3),"V列に色付け","")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316"/>
      <c r="B161" s="1439"/>
      <c r="C161" s="1440"/>
      <c r="D161" s="1440"/>
      <c r="E161" s="1440"/>
      <c r="F161" s="1441"/>
      <c r="G161" s="1269"/>
      <c r="H161" s="1269"/>
      <c r="I161" s="1269"/>
      <c r="J161" s="1444"/>
      <c r="K161" s="1269"/>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66"/>
      <c r="AI161" s="1490"/>
      <c r="AJ161" s="1554"/>
      <c r="AK161" s="1372"/>
      <c r="AL161" s="1556"/>
      <c r="AM161" s="1558"/>
      <c r="AN161" s="1550"/>
      <c r="AO161" s="1530"/>
      <c r="AP161" s="1552"/>
      <c r="AQ161" s="1530"/>
      <c r="AR161" s="1532"/>
      <c r="AS161" s="153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42" t="str">
        <f>IF(基本情報入力シート!X91="","",基本情報入力シート!X91)</f>
        <v/>
      </c>
      <c r="K162" s="1267"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2258</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7" t="s">
        <v>10</v>
      </c>
      <c r="Z162" s="1574">
        <f>'別紙様式2-3（６月以降分）'!Z162</f>
        <v>6</v>
      </c>
      <c r="AA162" s="1377" t="s">
        <v>45</v>
      </c>
      <c r="AB162" s="1574">
        <f>'別紙様式2-3（６月以降分）'!AB162</f>
        <v>7</v>
      </c>
      <c r="AC162" s="1377" t="s">
        <v>10</v>
      </c>
      <c r="AD162" s="1574">
        <f>'別紙様式2-3（６月以降分）'!AD162</f>
        <v>3</v>
      </c>
      <c r="AE162" s="1377" t="s">
        <v>2172</v>
      </c>
      <c r="AF162" s="1377" t="s">
        <v>24</v>
      </c>
      <c r="AG162" s="1377">
        <f>IF(X162&gt;=1,(AB162*12+AD162)-(X162*12+Z162)+1,"")</f>
        <v>10</v>
      </c>
      <c r="AH162" s="1379" t="s">
        <v>38</v>
      </c>
      <c r="AI162" s="1381"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315"/>
      <c r="B163" s="1301"/>
      <c r="C163" s="1302"/>
      <c r="D163" s="1302"/>
      <c r="E163" s="1302"/>
      <c r="F163" s="1303"/>
      <c r="G163" s="1268"/>
      <c r="H163" s="1268"/>
      <c r="I163" s="1268"/>
      <c r="J163" s="1443"/>
      <c r="K163" s="1268"/>
      <c r="L163" s="1454"/>
      <c r="M163" s="1463"/>
      <c r="N163" s="1399" t="str">
        <f>IF('別紙様式2-2（４・５月分）'!Q126="","",'別紙様式2-2（４・５月分）'!Q126)</f>
        <v/>
      </c>
      <c r="O163" s="1420"/>
      <c r="P163" s="1426"/>
      <c r="Q163" s="1427"/>
      <c r="R163" s="1428"/>
      <c r="S163" s="1430"/>
      <c r="T163" s="1432"/>
      <c r="U163" s="1577"/>
      <c r="V163" s="1436"/>
      <c r="W163" s="1438"/>
      <c r="X163" s="1575"/>
      <c r="Y163" s="1378"/>
      <c r="Z163" s="1575"/>
      <c r="AA163" s="1378"/>
      <c r="AB163" s="1575"/>
      <c r="AC163" s="1378"/>
      <c r="AD163" s="1575"/>
      <c r="AE163" s="1378"/>
      <c r="AF163" s="1378"/>
      <c r="AG163" s="1378"/>
      <c r="AH163" s="1380"/>
      <c r="AI163" s="1382"/>
      <c r="AJ163" s="1569"/>
      <c r="AK163" s="1571"/>
      <c r="AL163" s="1573"/>
      <c r="AM163" s="1564"/>
      <c r="AN163" s="1566"/>
      <c r="AO163" s="1394"/>
      <c r="AP163" s="1567"/>
      <c r="AQ163" s="1394"/>
      <c r="AR163" s="1536"/>
      <c r="AS163" s="1539"/>
      <c r="AT163" s="1537" t="str">
        <f t="shared" ref="AT163" si="142">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1"/>
      <c r="C164" s="1302"/>
      <c r="D164" s="1302"/>
      <c r="E164" s="1302"/>
      <c r="F164" s="1303"/>
      <c r="G164" s="1268"/>
      <c r="H164" s="1268"/>
      <c r="I164" s="1268"/>
      <c r="J164" s="1443"/>
      <c r="K164" s="1268"/>
      <c r="L164" s="1454"/>
      <c r="M164" s="1463"/>
      <c r="N164" s="1400"/>
      <c r="O164" s="1421"/>
      <c r="P164" s="1401" t="s">
        <v>2179</v>
      </c>
      <c r="Q164" s="1460" t="str">
        <f>IFERROR(VLOOKUP('別紙様式2-2（４・５月分）'!AR125,【参考】数式用!$AT$5:$AV$22,3,FALSE),"")</f>
        <v/>
      </c>
      <c r="R164" s="1405" t="s">
        <v>2190</v>
      </c>
      <c r="S164" s="1407" t="str">
        <f>IFERROR(VLOOKUP(K162,【参考】数式用!$A$5:$AB$27,MATCH(Q164,【参考】数式用!$B$4:$AB$4,0)+1,0),"")</f>
        <v/>
      </c>
      <c r="T164" s="1409" t="s">
        <v>2267</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2172</v>
      </c>
      <c r="AF164" s="1397" t="s">
        <v>24</v>
      </c>
      <c r="AG164" s="1397" t="str">
        <f>IF(X164&gt;=1,(AB164*12+AD164)-(X164*12+Z164)+1,"")</f>
        <v/>
      </c>
      <c r="AH164" s="1365" t="s">
        <v>38</v>
      </c>
      <c r="AI164" s="1489" t="str">
        <f t="shared" ref="AI164" si="143">IFERROR(ROUNDDOWN(ROUND(L162*V164,0)*M162,0)*AG164,"")</f>
        <v/>
      </c>
      <c r="AJ164" s="1553" t="str">
        <f>IFERROR(ROUNDDOWN(ROUND((L162*(V164-AX162)),0)*M162,0)*AG164,"")</f>
        <v/>
      </c>
      <c r="AK164" s="1371"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IF(AND(AB162&lt;&gt;7,AD162&lt;&gt;3),"V列に色付け","")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316"/>
      <c r="B165" s="1439"/>
      <c r="C165" s="1440"/>
      <c r="D165" s="1440"/>
      <c r="E165" s="1440"/>
      <c r="F165" s="1441"/>
      <c r="G165" s="1269"/>
      <c r="H165" s="1269"/>
      <c r="I165" s="1269"/>
      <c r="J165" s="1444"/>
      <c r="K165" s="1269"/>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66"/>
      <c r="AI165" s="1490"/>
      <c r="AJ165" s="1554"/>
      <c r="AK165" s="1372"/>
      <c r="AL165" s="1556"/>
      <c r="AM165" s="1558"/>
      <c r="AN165" s="1550"/>
      <c r="AO165" s="1530"/>
      <c r="AP165" s="1552"/>
      <c r="AQ165" s="1530"/>
      <c r="AR165" s="1532"/>
      <c r="AS165" s="153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314">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43"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2258</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7" t="s">
        <v>10</v>
      </c>
      <c r="Z166" s="1574">
        <f>'別紙様式2-3（６月以降分）'!Z166</f>
        <v>6</v>
      </c>
      <c r="AA166" s="1377" t="s">
        <v>45</v>
      </c>
      <c r="AB166" s="1574">
        <f>'別紙様式2-3（６月以降分）'!AB166</f>
        <v>7</v>
      </c>
      <c r="AC166" s="1377" t="s">
        <v>10</v>
      </c>
      <c r="AD166" s="1574">
        <f>'別紙様式2-3（６月以降分）'!AD166</f>
        <v>3</v>
      </c>
      <c r="AE166" s="1377" t="s">
        <v>2172</v>
      </c>
      <c r="AF166" s="1377" t="s">
        <v>24</v>
      </c>
      <c r="AG166" s="1377">
        <f>IF(X166&gt;=1,(AB166*12+AD166)-(X166*12+Z166)+1,"")</f>
        <v>10</v>
      </c>
      <c r="AH166" s="1379" t="s">
        <v>38</v>
      </c>
      <c r="AI166" s="1381"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315"/>
      <c r="B167" s="1301"/>
      <c r="C167" s="1302"/>
      <c r="D167" s="1302"/>
      <c r="E167" s="1302"/>
      <c r="F167" s="1303"/>
      <c r="G167" s="1268"/>
      <c r="H167" s="1268"/>
      <c r="I167" s="1268"/>
      <c r="J167" s="1443"/>
      <c r="K167" s="1268"/>
      <c r="L167" s="1454"/>
      <c r="M167" s="1456"/>
      <c r="N167" s="1399" t="str">
        <f>IF('別紙様式2-2（４・５月分）'!Q129="","",'別紙様式2-2（４・５月分）'!Q129)</f>
        <v/>
      </c>
      <c r="O167" s="1420"/>
      <c r="P167" s="1426"/>
      <c r="Q167" s="1427"/>
      <c r="R167" s="1428"/>
      <c r="S167" s="1430"/>
      <c r="T167" s="1432"/>
      <c r="U167" s="1577"/>
      <c r="V167" s="1436"/>
      <c r="W167" s="1438"/>
      <c r="X167" s="1575"/>
      <c r="Y167" s="1378"/>
      <c r="Z167" s="1575"/>
      <c r="AA167" s="1378"/>
      <c r="AB167" s="1575"/>
      <c r="AC167" s="1378"/>
      <c r="AD167" s="1575"/>
      <c r="AE167" s="1378"/>
      <c r="AF167" s="1378"/>
      <c r="AG167" s="1378"/>
      <c r="AH167" s="1380"/>
      <c r="AI167" s="1382"/>
      <c r="AJ167" s="1569"/>
      <c r="AK167" s="1571"/>
      <c r="AL167" s="1573"/>
      <c r="AM167" s="1564"/>
      <c r="AN167" s="1566"/>
      <c r="AO167" s="1394"/>
      <c r="AP167" s="1567"/>
      <c r="AQ167" s="1394"/>
      <c r="AR167" s="1536"/>
      <c r="AS167" s="1539"/>
      <c r="AT167" s="1537" t="str">
        <f t="shared" ref="AT167" si="146">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1"/>
      <c r="C168" s="1302"/>
      <c r="D168" s="1302"/>
      <c r="E168" s="1302"/>
      <c r="F168" s="1303"/>
      <c r="G168" s="1268"/>
      <c r="H168" s="1268"/>
      <c r="I168" s="1268"/>
      <c r="J168" s="1443"/>
      <c r="K168" s="1268"/>
      <c r="L168" s="1454"/>
      <c r="M168" s="1456"/>
      <c r="N168" s="1400"/>
      <c r="O168" s="1421"/>
      <c r="P168" s="1401" t="s">
        <v>2179</v>
      </c>
      <c r="Q168" s="1460" t="str">
        <f>IFERROR(VLOOKUP('別紙様式2-2（４・５月分）'!AR128,【参考】数式用!$AT$5:$AV$22,3,FALSE),"")</f>
        <v/>
      </c>
      <c r="R168" s="1405" t="s">
        <v>2190</v>
      </c>
      <c r="S168" s="1447" t="str">
        <f>IFERROR(VLOOKUP(K166,【参考】数式用!$A$5:$AB$27,MATCH(Q168,【参考】数式用!$B$4:$AB$4,0)+1,0),"")</f>
        <v/>
      </c>
      <c r="T168" s="1409" t="s">
        <v>2267</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2172</v>
      </c>
      <c r="AF168" s="1397" t="s">
        <v>24</v>
      </c>
      <c r="AG168" s="1397" t="str">
        <f>IF(X168&gt;=1,(AB168*12+AD168)-(X168*12+Z168)+1,"")</f>
        <v/>
      </c>
      <c r="AH168" s="1365" t="s">
        <v>38</v>
      </c>
      <c r="AI168" s="1489" t="str">
        <f t="shared" ref="AI168" si="147">IFERROR(ROUNDDOWN(ROUND(L166*V168,0)*M166,0)*AG168,"")</f>
        <v/>
      </c>
      <c r="AJ168" s="1553" t="str">
        <f>IFERROR(ROUNDDOWN(ROUND((L166*(V168-AX166)),0)*M166,0)*AG168,"")</f>
        <v/>
      </c>
      <c r="AK168" s="1371"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IF(AND(AB166&lt;&gt;7,AD166&lt;&gt;3),"V列に色付け","")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316"/>
      <c r="B169" s="1439"/>
      <c r="C169" s="1440"/>
      <c r="D169" s="1440"/>
      <c r="E169" s="1440"/>
      <c r="F169" s="1441"/>
      <c r="G169" s="1269"/>
      <c r="H169" s="1269"/>
      <c r="I169" s="1269"/>
      <c r="J169" s="1444"/>
      <c r="K169" s="1269"/>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66"/>
      <c r="AI169" s="1490"/>
      <c r="AJ169" s="1554"/>
      <c r="AK169" s="1372"/>
      <c r="AL169" s="1556"/>
      <c r="AM169" s="1558"/>
      <c r="AN169" s="1550"/>
      <c r="AO169" s="1530"/>
      <c r="AP169" s="1552"/>
      <c r="AQ169" s="1530"/>
      <c r="AR169" s="1532"/>
      <c r="AS169" s="153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43"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2258</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7" t="s">
        <v>10</v>
      </c>
      <c r="Z170" s="1574">
        <f>'別紙様式2-3（６月以降分）'!Z170</f>
        <v>6</v>
      </c>
      <c r="AA170" s="1377" t="s">
        <v>45</v>
      </c>
      <c r="AB170" s="1574">
        <f>'別紙様式2-3（６月以降分）'!AB170</f>
        <v>7</v>
      </c>
      <c r="AC170" s="1377" t="s">
        <v>10</v>
      </c>
      <c r="AD170" s="1574">
        <f>'別紙様式2-3（６月以降分）'!AD170</f>
        <v>3</v>
      </c>
      <c r="AE170" s="1377" t="s">
        <v>2172</v>
      </c>
      <c r="AF170" s="1377" t="s">
        <v>24</v>
      </c>
      <c r="AG170" s="1377">
        <f>IF(X170&gt;=1,(AB170*12+AD170)-(X170*12+Z170)+1,"")</f>
        <v>10</v>
      </c>
      <c r="AH170" s="1379" t="s">
        <v>38</v>
      </c>
      <c r="AI170" s="1381"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315"/>
      <c r="B171" s="1301"/>
      <c r="C171" s="1302"/>
      <c r="D171" s="1302"/>
      <c r="E171" s="1302"/>
      <c r="F171" s="1303"/>
      <c r="G171" s="1268"/>
      <c r="H171" s="1268"/>
      <c r="I171" s="1268"/>
      <c r="J171" s="1443"/>
      <c r="K171" s="1268"/>
      <c r="L171" s="1454"/>
      <c r="M171" s="1456"/>
      <c r="N171" s="1399" t="str">
        <f>IF('別紙様式2-2（４・５月分）'!Q132="","",'別紙様式2-2（４・５月分）'!Q132)</f>
        <v/>
      </c>
      <c r="O171" s="1420"/>
      <c r="P171" s="1426"/>
      <c r="Q171" s="1427"/>
      <c r="R171" s="1428"/>
      <c r="S171" s="1430"/>
      <c r="T171" s="1432"/>
      <c r="U171" s="1577"/>
      <c r="V171" s="1436"/>
      <c r="W171" s="1438"/>
      <c r="X171" s="1575"/>
      <c r="Y171" s="1378"/>
      <c r="Z171" s="1575"/>
      <c r="AA171" s="1378"/>
      <c r="AB171" s="1575"/>
      <c r="AC171" s="1378"/>
      <c r="AD171" s="1575"/>
      <c r="AE171" s="1378"/>
      <c r="AF171" s="1378"/>
      <c r="AG171" s="1378"/>
      <c r="AH171" s="1380"/>
      <c r="AI171" s="1382"/>
      <c r="AJ171" s="1569"/>
      <c r="AK171" s="1571"/>
      <c r="AL171" s="1573"/>
      <c r="AM171" s="1564"/>
      <c r="AN171" s="1566"/>
      <c r="AO171" s="1394"/>
      <c r="AP171" s="1567"/>
      <c r="AQ171" s="1394"/>
      <c r="AR171" s="1536"/>
      <c r="AS171" s="1539"/>
      <c r="AT171" s="1537" t="str">
        <f t="shared" ref="AT171" si="150">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1"/>
      <c r="C172" s="1302"/>
      <c r="D172" s="1302"/>
      <c r="E172" s="1302"/>
      <c r="F172" s="1303"/>
      <c r="G172" s="1268"/>
      <c r="H172" s="1268"/>
      <c r="I172" s="1268"/>
      <c r="J172" s="1443"/>
      <c r="K172" s="1268"/>
      <c r="L172" s="1454"/>
      <c r="M172" s="1456"/>
      <c r="N172" s="1400"/>
      <c r="O172" s="1421"/>
      <c r="P172" s="1401" t="s">
        <v>2179</v>
      </c>
      <c r="Q172" s="1460" t="str">
        <f>IFERROR(VLOOKUP('別紙様式2-2（４・５月分）'!AR131,【参考】数式用!$AT$5:$AV$22,3,FALSE),"")</f>
        <v/>
      </c>
      <c r="R172" s="1405" t="s">
        <v>2190</v>
      </c>
      <c r="S172" s="1447" t="str">
        <f>IFERROR(VLOOKUP(K170,【参考】数式用!$A$5:$AB$27,MATCH(Q172,【参考】数式用!$B$4:$AB$4,0)+1,0),"")</f>
        <v/>
      </c>
      <c r="T172" s="1409" t="s">
        <v>2267</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2172</v>
      </c>
      <c r="AF172" s="1397" t="s">
        <v>24</v>
      </c>
      <c r="AG172" s="1397" t="str">
        <f>IF(X172&gt;=1,(AB172*12+AD172)-(X172*12+Z172)+1,"")</f>
        <v/>
      </c>
      <c r="AH172" s="1365" t="s">
        <v>38</v>
      </c>
      <c r="AI172" s="1489" t="str">
        <f t="shared" ref="AI172" si="151">IFERROR(ROUNDDOWN(ROUND(L170*V172,0)*M170,0)*AG172,"")</f>
        <v/>
      </c>
      <c r="AJ172" s="1553" t="str">
        <f>IFERROR(ROUNDDOWN(ROUND((L170*(V172-AX170)),0)*M170,0)*AG172,"")</f>
        <v/>
      </c>
      <c r="AK172" s="1371"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IF(AND(AB170&lt;&gt;7,AD170&lt;&gt;3),"V列に色付け","")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316"/>
      <c r="B173" s="1439"/>
      <c r="C173" s="1440"/>
      <c r="D173" s="1440"/>
      <c r="E173" s="1440"/>
      <c r="F173" s="1441"/>
      <c r="G173" s="1269"/>
      <c r="H173" s="1269"/>
      <c r="I173" s="1269"/>
      <c r="J173" s="1444"/>
      <c r="K173" s="1269"/>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66"/>
      <c r="AI173" s="1490"/>
      <c r="AJ173" s="1554"/>
      <c r="AK173" s="1372"/>
      <c r="AL173" s="1556"/>
      <c r="AM173" s="1558"/>
      <c r="AN173" s="1550"/>
      <c r="AO173" s="1530"/>
      <c r="AP173" s="1552"/>
      <c r="AQ173" s="1530"/>
      <c r="AR173" s="1532"/>
      <c r="AS173" s="153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314">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42" t="str">
        <f>IF(基本情報入力シート!X94="","",基本情報入力シート!X94)</f>
        <v/>
      </c>
      <c r="K174" s="1267"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2258</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7" t="s">
        <v>10</v>
      </c>
      <c r="Z174" s="1574">
        <f>'別紙様式2-3（６月以降分）'!Z174</f>
        <v>6</v>
      </c>
      <c r="AA174" s="1377" t="s">
        <v>45</v>
      </c>
      <c r="AB174" s="1574">
        <f>'別紙様式2-3（６月以降分）'!AB174</f>
        <v>7</v>
      </c>
      <c r="AC174" s="1377" t="s">
        <v>10</v>
      </c>
      <c r="AD174" s="1574">
        <f>'別紙様式2-3（６月以降分）'!AD174</f>
        <v>3</v>
      </c>
      <c r="AE174" s="1377" t="s">
        <v>2172</v>
      </c>
      <c r="AF174" s="1377" t="s">
        <v>24</v>
      </c>
      <c r="AG174" s="1377">
        <f>IF(X174&gt;=1,(AB174*12+AD174)-(X174*12+Z174)+1,"")</f>
        <v>10</v>
      </c>
      <c r="AH174" s="1379" t="s">
        <v>38</v>
      </c>
      <c r="AI174" s="1381"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315"/>
      <c r="B175" s="1301"/>
      <c r="C175" s="1302"/>
      <c r="D175" s="1302"/>
      <c r="E175" s="1302"/>
      <c r="F175" s="1303"/>
      <c r="G175" s="1268"/>
      <c r="H175" s="1268"/>
      <c r="I175" s="1268"/>
      <c r="J175" s="1443"/>
      <c r="K175" s="1268"/>
      <c r="L175" s="1454"/>
      <c r="M175" s="1463"/>
      <c r="N175" s="1399" t="str">
        <f>IF('別紙様式2-2（４・５月分）'!Q135="","",'別紙様式2-2（４・５月分）'!Q135)</f>
        <v/>
      </c>
      <c r="O175" s="1420"/>
      <c r="P175" s="1426"/>
      <c r="Q175" s="1427"/>
      <c r="R175" s="1428"/>
      <c r="S175" s="1430"/>
      <c r="T175" s="1432"/>
      <c r="U175" s="1577"/>
      <c r="V175" s="1436"/>
      <c r="W175" s="1438"/>
      <c r="X175" s="1575"/>
      <c r="Y175" s="1378"/>
      <c r="Z175" s="1575"/>
      <c r="AA175" s="1378"/>
      <c r="AB175" s="1575"/>
      <c r="AC175" s="1378"/>
      <c r="AD175" s="1575"/>
      <c r="AE175" s="1378"/>
      <c r="AF175" s="1378"/>
      <c r="AG175" s="1378"/>
      <c r="AH175" s="1380"/>
      <c r="AI175" s="1382"/>
      <c r="AJ175" s="1569"/>
      <c r="AK175" s="1571"/>
      <c r="AL175" s="1573"/>
      <c r="AM175" s="1564"/>
      <c r="AN175" s="1566"/>
      <c r="AO175" s="1394"/>
      <c r="AP175" s="1567"/>
      <c r="AQ175" s="1394"/>
      <c r="AR175" s="1536"/>
      <c r="AS175" s="1539"/>
      <c r="AT175" s="1537" t="str">
        <f t="shared" ref="AT175" si="154">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1"/>
      <c r="C176" s="1302"/>
      <c r="D176" s="1302"/>
      <c r="E176" s="1302"/>
      <c r="F176" s="1303"/>
      <c r="G176" s="1268"/>
      <c r="H176" s="1268"/>
      <c r="I176" s="1268"/>
      <c r="J176" s="1443"/>
      <c r="K176" s="1268"/>
      <c r="L176" s="1454"/>
      <c r="M176" s="1463"/>
      <c r="N176" s="1400"/>
      <c r="O176" s="1421"/>
      <c r="P176" s="1401" t="s">
        <v>2179</v>
      </c>
      <c r="Q176" s="1460" t="str">
        <f>IFERROR(VLOOKUP('別紙様式2-2（４・５月分）'!AR134,【参考】数式用!$AT$5:$AV$22,3,FALSE),"")</f>
        <v/>
      </c>
      <c r="R176" s="1405" t="s">
        <v>2190</v>
      </c>
      <c r="S176" s="1407" t="str">
        <f>IFERROR(VLOOKUP(K174,【参考】数式用!$A$5:$AB$27,MATCH(Q176,【参考】数式用!$B$4:$AB$4,0)+1,0),"")</f>
        <v/>
      </c>
      <c r="T176" s="1409" t="s">
        <v>2267</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2172</v>
      </c>
      <c r="AF176" s="1397" t="s">
        <v>24</v>
      </c>
      <c r="AG176" s="1397" t="str">
        <f>IF(X176&gt;=1,(AB176*12+AD176)-(X176*12+Z176)+1,"")</f>
        <v/>
      </c>
      <c r="AH176" s="1365" t="s">
        <v>38</v>
      </c>
      <c r="AI176" s="1489" t="str">
        <f t="shared" ref="AI176" si="155">IFERROR(ROUNDDOWN(ROUND(L174*V176,0)*M174,0)*AG176,"")</f>
        <v/>
      </c>
      <c r="AJ176" s="1553" t="str">
        <f>IFERROR(ROUNDDOWN(ROUND((L174*(V176-AX174)),0)*M174,0)*AG176,"")</f>
        <v/>
      </c>
      <c r="AK176" s="1371"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IF(AND(AB174&lt;&gt;7,AD174&lt;&gt;3),"V列に色付け","")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316"/>
      <c r="B177" s="1439"/>
      <c r="C177" s="1440"/>
      <c r="D177" s="1440"/>
      <c r="E177" s="1440"/>
      <c r="F177" s="1441"/>
      <c r="G177" s="1269"/>
      <c r="H177" s="1269"/>
      <c r="I177" s="1269"/>
      <c r="J177" s="1444"/>
      <c r="K177" s="1269"/>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66"/>
      <c r="AI177" s="1490"/>
      <c r="AJ177" s="1554"/>
      <c r="AK177" s="1372"/>
      <c r="AL177" s="1556"/>
      <c r="AM177" s="1558"/>
      <c r="AN177" s="1550"/>
      <c r="AO177" s="1530"/>
      <c r="AP177" s="1552"/>
      <c r="AQ177" s="1530"/>
      <c r="AR177" s="1532"/>
      <c r="AS177" s="153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43"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2258</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7" t="s">
        <v>10</v>
      </c>
      <c r="Z178" s="1574">
        <f>'別紙様式2-3（６月以降分）'!Z178</f>
        <v>6</v>
      </c>
      <c r="AA178" s="1377" t="s">
        <v>45</v>
      </c>
      <c r="AB178" s="1574">
        <f>'別紙様式2-3（６月以降分）'!AB178</f>
        <v>7</v>
      </c>
      <c r="AC178" s="1377" t="s">
        <v>10</v>
      </c>
      <c r="AD178" s="1574">
        <f>'別紙様式2-3（６月以降分）'!AD178</f>
        <v>3</v>
      </c>
      <c r="AE178" s="1377" t="s">
        <v>2172</v>
      </c>
      <c r="AF178" s="1377" t="s">
        <v>24</v>
      </c>
      <c r="AG178" s="1377">
        <f>IF(X178&gt;=1,(AB178*12+AD178)-(X178*12+Z178)+1,"")</f>
        <v>10</v>
      </c>
      <c r="AH178" s="1379" t="s">
        <v>38</v>
      </c>
      <c r="AI178" s="1381"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315"/>
      <c r="B179" s="1301"/>
      <c r="C179" s="1302"/>
      <c r="D179" s="1302"/>
      <c r="E179" s="1302"/>
      <c r="F179" s="1303"/>
      <c r="G179" s="1268"/>
      <c r="H179" s="1268"/>
      <c r="I179" s="1268"/>
      <c r="J179" s="1443"/>
      <c r="K179" s="1268"/>
      <c r="L179" s="1454"/>
      <c r="M179" s="1456"/>
      <c r="N179" s="1399" t="str">
        <f>IF('別紙様式2-2（４・５月分）'!Q138="","",'別紙様式2-2（４・５月分）'!Q138)</f>
        <v/>
      </c>
      <c r="O179" s="1420"/>
      <c r="P179" s="1426"/>
      <c r="Q179" s="1427"/>
      <c r="R179" s="1428"/>
      <c r="S179" s="1430"/>
      <c r="T179" s="1432"/>
      <c r="U179" s="1577"/>
      <c r="V179" s="1436"/>
      <c r="W179" s="1438"/>
      <c r="X179" s="1575"/>
      <c r="Y179" s="1378"/>
      <c r="Z179" s="1575"/>
      <c r="AA179" s="1378"/>
      <c r="AB179" s="1575"/>
      <c r="AC179" s="1378"/>
      <c r="AD179" s="1575"/>
      <c r="AE179" s="1378"/>
      <c r="AF179" s="1378"/>
      <c r="AG179" s="1378"/>
      <c r="AH179" s="1380"/>
      <c r="AI179" s="1382"/>
      <c r="AJ179" s="1569"/>
      <c r="AK179" s="1571"/>
      <c r="AL179" s="1573"/>
      <c r="AM179" s="1564"/>
      <c r="AN179" s="1566"/>
      <c r="AO179" s="1394"/>
      <c r="AP179" s="1567"/>
      <c r="AQ179" s="1394"/>
      <c r="AR179" s="1536"/>
      <c r="AS179" s="1539"/>
      <c r="AT179" s="1537" t="str">
        <f t="shared" ref="AT179" si="15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1"/>
      <c r="C180" s="1302"/>
      <c r="D180" s="1302"/>
      <c r="E180" s="1302"/>
      <c r="F180" s="1303"/>
      <c r="G180" s="1268"/>
      <c r="H180" s="1268"/>
      <c r="I180" s="1268"/>
      <c r="J180" s="1443"/>
      <c r="K180" s="1268"/>
      <c r="L180" s="1454"/>
      <c r="M180" s="1456"/>
      <c r="N180" s="1400"/>
      <c r="O180" s="1421"/>
      <c r="P180" s="1401" t="s">
        <v>2179</v>
      </c>
      <c r="Q180" s="1460" t="str">
        <f>IFERROR(VLOOKUP('別紙様式2-2（４・５月分）'!AR137,【参考】数式用!$AT$5:$AV$22,3,FALSE),"")</f>
        <v/>
      </c>
      <c r="R180" s="1405" t="s">
        <v>2190</v>
      </c>
      <c r="S180" s="1447" t="str">
        <f>IFERROR(VLOOKUP(K178,【参考】数式用!$A$5:$AB$27,MATCH(Q180,【参考】数式用!$B$4:$AB$4,0)+1,0),"")</f>
        <v/>
      </c>
      <c r="T180" s="1409" t="s">
        <v>2267</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2172</v>
      </c>
      <c r="AF180" s="1397" t="s">
        <v>24</v>
      </c>
      <c r="AG180" s="1397" t="str">
        <f>IF(X180&gt;=1,(AB180*12+AD180)-(X180*12+Z180)+1,"")</f>
        <v/>
      </c>
      <c r="AH180" s="1365" t="s">
        <v>38</v>
      </c>
      <c r="AI180" s="1489" t="str">
        <f t="shared" ref="AI180" si="159">IFERROR(ROUNDDOWN(ROUND(L178*V180,0)*M178,0)*AG180,"")</f>
        <v/>
      </c>
      <c r="AJ180" s="1553" t="str">
        <f>IFERROR(ROUNDDOWN(ROUND((L178*(V180-AX178)),0)*M178,0)*AG180,"")</f>
        <v/>
      </c>
      <c r="AK180" s="1371"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IF(AND(AB178&lt;&gt;7,AD178&lt;&gt;3),"V列に色付け","")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316"/>
      <c r="B181" s="1439"/>
      <c r="C181" s="1440"/>
      <c r="D181" s="1440"/>
      <c r="E181" s="1440"/>
      <c r="F181" s="1441"/>
      <c r="G181" s="1269"/>
      <c r="H181" s="1269"/>
      <c r="I181" s="1269"/>
      <c r="J181" s="1444"/>
      <c r="K181" s="1269"/>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66"/>
      <c r="AI181" s="1490"/>
      <c r="AJ181" s="1554"/>
      <c r="AK181" s="1372"/>
      <c r="AL181" s="1556"/>
      <c r="AM181" s="1558"/>
      <c r="AN181" s="1550"/>
      <c r="AO181" s="1530"/>
      <c r="AP181" s="1552"/>
      <c r="AQ181" s="1530"/>
      <c r="AR181" s="1532"/>
      <c r="AS181" s="153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314">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42" t="str">
        <f>IF(基本情報入力シート!X96="","",基本情報入力シート!X96)</f>
        <v/>
      </c>
      <c r="K182" s="1267"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2258</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7" t="s">
        <v>10</v>
      </c>
      <c r="Z182" s="1574">
        <f>'別紙様式2-3（６月以降分）'!Z182</f>
        <v>6</v>
      </c>
      <c r="AA182" s="1377" t="s">
        <v>45</v>
      </c>
      <c r="AB182" s="1574">
        <f>'別紙様式2-3（６月以降分）'!AB182</f>
        <v>7</v>
      </c>
      <c r="AC182" s="1377" t="s">
        <v>10</v>
      </c>
      <c r="AD182" s="1574">
        <f>'別紙様式2-3（６月以降分）'!AD182</f>
        <v>3</v>
      </c>
      <c r="AE182" s="1377" t="s">
        <v>2172</v>
      </c>
      <c r="AF182" s="1377" t="s">
        <v>24</v>
      </c>
      <c r="AG182" s="1377">
        <f>IF(X182&gt;=1,(AB182*12+AD182)-(X182*12+Z182)+1,"")</f>
        <v>10</v>
      </c>
      <c r="AH182" s="1379" t="s">
        <v>38</v>
      </c>
      <c r="AI182" s="1381"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315"/>
      <c r="B183" s="1301"/>
      <c r="C183" s="1302"/>
      <c r="D183" s="1302"/>
      <c r="E183" s="1302"/>
      <c r="F183" s="1303"/>
      <c r="G183" s="1268"/>
      <c r="H183" s="1268"/>
      <c r="I183" s="1268"/>
      <c r="J183" s="1443"/>
      <c r="K183" s="1268"/>
      <c r="L183" s="1454"/>
      <c r="M183" s="1463"/>
      <c r="N183" s="1399" t="str">
        <f>IF('別紙様式2-2（４・５月分）'!Q141="","",'別紙様式2-2（４・５月分）'!Q141)</f>
        <v/>
      </c>
      <c r="O183" s="1420"/>
      <c r="P183" s="1426"/>
      <c r="Q183" s="1427"/>
      <c r="R183" s="1428"/>
      <c r="S183" s="1430"/>
      <c r="T183" s="1432"/>
      <c r="U183" s="1577"/>
      <c r="V183" s="1436"/>
      <c r="W183" s="1438"/>
      <c r="X183" s="1575"/>
      <c r="Y183" s="1378"/>
      <c r="Z183" s="1575"/>
      <c r="AA183" s="1378"/>
      <c r="AB183" s="1575"/>
      <c r="AC183" s="1378"/>
      <c r="AD183" s="1575"/>
      <c r="AE183" s="1378"/>
      <c r="AF183" s="1378"/>
      <c r="AG183" s="1378"/>
      <c r="AH183" s="1380"/>
      <c r="AI183" s="1382"/>
      <c r="AJ183" s="1569"/>
      <c r="AK183" s="1571"/>
      <c r="AL183" s="1573"/>
      <c r="AM183" s="1564"/>
      <c r="AN183" s="1566"/>
      <c r="AO183" s="1394"/>
      <c r="AP183" s="1567"/>
      <c r="AQ183" s="1394"/>
      <c r="AR183" s="1536"/>
      <c r="AS183" s="1539"/>
      <c r="AT183" s="1537" t="str">
        <f t="shared" ref="AT183" si="162">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1"/>
      <c r="C184" s="1302"/>
      <c r="D184" s="1302"/>
      <c r="E184" s="1302"/>
      <c r="F184" s="1303"/>
      <c r="G184" s="1268"/>
      <c r="H184" s="1268"/>
      <c r="I184" s="1268"/>
      <c r="J184" s="1443"/>
      <c r="K184" s="1268"/>
      <c r="L184" s="1454"/>
      <c r="M184" s="1463"/>
      <c r="N184" s="1400"/>
      <c r="O184" s="1421"/>
      <c r="P184" s="1401" t="s">
        <v>2179</v>
      </c>
      <c r="Q184" s="1460" t="str">
        <f>IFERROR(VLOOKUP('別紙様式2-2（４・５月分）'!AR140,【参考】数式用!$AT$5:$AV$22,3,FALSE),"")</f>
        <v/>
      </c>
      <c r="R184" s="1405" t="s">
        <v>2190</v>
      </c>
      <c r="S184" s="1407" t="str">
        <f>IFERROR(VLOOKUP(K182,【参考】数式用!$A$5:$AB$27,MATCH(Q184,【参考】数式用!$B$4:$AB$4,0)+1,0),"")</f>
        <v/>
      </c>
      <c r="T184" s="1409" t="s">
        <v>2267</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2172</v>
      </c>
      <c r="AF184" s="1397" t="s">
        <v>24</v>
      </c>
      <c r="AG184" s="1397" t="str">
        <f>IF(X184&gt;=1,(AB184*12+AD184)-(X184*12+Z184)+1,"")</f>
        <v/>
      </c>
      <c r="AH184" s="1365" t="s">
        <v>38</v>
      </c>
      <c r="AI184" s="1489" t="str">
        <f t="shared" ref="AI184" si="163">IFERROR(ROUNDDOWN(ROUND(L182*V184,0)*M182,0)*AG184,"")</f>
        <v/>
      </c>
      <c r="AJ184" s="1553" t="str">
        <f>IFERROR(ROUNDDOWN(ROUND((L182*(V184-AX182)),0)*M182,0)*AG184,"")</f>
        <v/>
      </c>
      <c r="AK184" s="1371"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IF(AND(AB182&lt;&gt;7,AD182&lt;&gt;3),"V列に色付け","")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316"/>
      <c r="B185" s="1439"/>
      <c r="C185" s="1440"/>
      <c r="D185" s="1440"/>
      <c r="E185" s="1440"/>
      <c r="F185" s="1441"/>
      <c r="G185" s="1269"/>
      <c r="H185" s="1269"/>
      <c r="I185" s="1269"/>
      <c r="J185" s="1444"/>
      <c r="K185" s="1269"/>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66"/>
      <c r="AI185" s="1490"/>
      <c r="AJ185" s="1554"/>
      <c r="AK185" s="1372"/>
      <c r="AL185" s="1556"/>
      <c r="AM185" s="1558"/>
      <c r="AN185" s="1550"/>
      <c r="AO185" s="1530"/>
      <c r="AP185" s="1552"/>
      <c r="AQ185" s="1530"/>
      <c r="AR185" s="1532"/>
      <c r="AS185" s="153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43"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2258</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7" t="s">
        <v>10</v>
      </c>
      <c r="Z186" s="1574">
        <f>'別紙様式2-3（６月以降分）'!Z186</f>
        <v>6</v>
      </c>
      <c r="AA186" s="1377" t="s">
        <v>45</v>
      </c>
      <c r="AB186" s="1574">
        <f>'別紙様式2-3（６月以降分）'!AB186</f>
        <v>7</v>
      </c>
      <c r="AC186" s="1377" t="s">
        <v>10</v>
      </c>
      <c r="AD186" s="1574">
        <f>'別紙様式2-3（６月以降分）'!AD186</f>
        <v>3</v>
      </c>
      <c r="AE186" s="1377" t="s">
        <v>2172</v>
      </c>
      <c r="AF186" s="1377" t="s">
        <v>24</v>
      </c>
      <c r="AG186" s="1377">
        <f>IF(X186&gt;=1,(AB186*12+AD186)-(X186*12+Z186)+1,"")</f>
        <v>10</v>
      </c>
      <c r="AH186" s="1379" t="s">
        <v>38</v>
      </c>
      <c r="AI186" s="1381"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315"/>
      <c r="B187" s="1301"/>
      <c r="C187" s="1302"/>
      <c r="D187" s="1302"/>
      <c r="E187" s="1302"/>
      <c r="F187" s="1303"/>
      <c r="G187" s="1268"/>
      <c r="H187" s="1268"/>
      <c r="I187" s="1268"/>
      <c r="J187" s="1443"/>
      <c r="K187" s="1268"/>
      <c r="L187" s="1454"/>
      <c r="M187" s="1456"/>
      <c r="N187" s="1399" t="str">
        <f>IF('別紙様式2-2（４・５月分）'!Q144="","",'別紙様式2-2（４・５月分）'!Q144)</f>
        <v/>
      </c>
      <c r="O187" s="1420"/>
      <c r="P187" s="1426"/>
      <c r="Q187" s="1427"/>
      <c r="R187" s="1428"/>
      <c r="S187" s="1430"/>
      <c r="T187" s="1432"/>
      <c r="U187" s="1577"/>
      <c r="V187" s="1436"/>
      <c r="W187" s="1438"/>
      <c r="X187" s="1575"/>
      <c r="Y187" s="1378"/>
      <c r="Z187" s="1575"/>
      <c r="AA187" s="1378"/>
      <c r="AB187" s="1575"/>
      <c r="AC187" s="1378"/>
      <c r="AD187" s="1575"/>
      <c r="AE187" s="1378"/>
      <c r="AF187" s="1378"/>
      <c r="AG187" s="1378"/>
      <c r="AH187" s="1380"/>
      <c r="AI187" s="1382"/>
      <c r="AJ187" s="1569"/>
      <c r="AK187" s="1571"/>
      <c r="AL187" s="1573"/>
      <c r="AM187" s="1564"/>
      <c r="AN187" s="1566"/>
      <c r="AO187" s="1394"/>
      <c r="AP187" s="1567"/>
      <c r="AQ187" s="1394"/>
      <c r="AR187" s="1536"/>
      <c r="AS187" s="1539"/>
      <c r="AT187" s="1537" t="str">
        <f t="shared" ref="AT187" si="166">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1"/>
      <c r="C188" s="1302"/>
      <c r="D188" s="1302"/>
      <c r="E188" s="1302"/>
      <c r="F188" s="1303"/>
      <c r="G188" s="1268"/>
      <c r="H188" s="1268"/>
      <c r="I188" s="1268"/>
      <c r="J188" s="1443"/>
      <c r="K188" s="1268"/>
      <c r="L188" s="1454"/>
      <c r="M188" s="1456"/>
      <c r="N188" s="1400"/>
      <c r="O188" s="1421"/>
      <c r="P188" s="1401" t="s">
        <v>2179</v>
      </c>
      <c r="Q188" s="1460" t="str">
        <f>IFERROR(VLOOKUP('別紙様式2-2（４・５月分）'!AR143,【参考】数式用!$AT$5:$AV$22,3,FALSE),"")</f>
        <v/>
      </c>
      <c r="R188" s="1405" t="s">
        <v>2190</v>
      </c>
      <c r="S188" s="1447" t="str">
        <f>IFERROR(VLOOKUP(K186,【参考】数式用!$A$5:$AB$27,MATCH(Q188,【参考】数式用!$B$4:$AB$4,0)+1,0),"")</f>
        <v/>
      </c>
      <c r="T188" s="1409" t="s">
        <v>2267</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2172</v>
      </c>
      <c r="AF188" s="1397" t="s">
        <v>24</v>
      </c>
      <c r="AG188" s="1397" t="str">
        <f>IF(X188&gt;=1,(AB188*12+AD188)-(X188*12+Z188)+1,"")</f>
        <v/>
      </c>
      <c r="AH188" s="1365" t="s">
        <v>38</v>
      </c>
      <c r="AI188" s="1489" t="str">
        <f t="shared" ref="AI188" si="167">IFERROR(ROUNDDOWN(ROUND(L186*V188,0)*M186,0)*AG188,"")</f>
        <v/>
      </c>
      <c r="AJ188" s="1553" t="str">
        <f>IFERROR(ROUNDDOWN(ROUND((L186*(V188-AX186)),0)*M186,0)*AG188,"")</f>
        <v/>
      </c>
      <c r="AK188" s="1371"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IF(AND(AB186&lt;&gt;7,AD186&lt;&gt;3),"V列に色付け","")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316"/>
      <c r="B189" s="1439"/>
      <c r="C189" s="1440"/>
      <c r="D189" s="1440"/>
      <c r="E189" s="1440"/>
      <c r="F189" s="1441"/>
      <c r="G189" s="1269"/>
      <c r="H189" s="1269"/>
      <c r="I189" s="1269"/>
      <c r="J189" s="1444"/>
      <c r="K189" s="1269"/>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66"/>
      <c r="AI189" s="1490"/>
      <c r="AJ189" s="1554"/>
      <c r="AK189" s="1372"/>
      <c r="AL189" s="1556"/>
      <c r="AM189" s="1558"/>
      <c r="AN189" s="1550"/>
      <c r="AO189" s="1530"/>
      <c r="AP189" s="1552"/>
      <c r="AQ189" s="1530"/>
      <c r="AR189" s="1532"/>
      <c r="AS189" s="153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314">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42" t="str">
        <f>IF(基本情報入力シート!X98="","",基本情報入力シート!X98)</f>
        <v/>
      </c>
      <c r="K190" s="1267"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2258</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7" t="s">
        <v>10</v>
      </c>
      <c r="Z190" s="1574">
        <f>'別紙様式2-3（６月以降分）'!Z190</f>
        <v>6</v>
      </c>
      <c r="AA190" s="1377" t="s">
        <v>45</v>
      </c>
      <c r="AB190" s="1574">
        <f>'別紙様式2-3（６月以降分）'!AB190</f>
        <v>7</v>
      </c>
      <c r="AC190" s="1377" t="s">
        <v>10</v>
      </c>
      <c r="AD190" s="1574">
        <f>'別紙様式2-3（６月以降分）'!AD190</f>
        <v>3</v>
      </c>
      <c r="AE190" s="1377" t="s">
        <v>2172</v>
      </c>
      <c r="AF190" s="1377" t="s">
        <v>24</v>
      </c>
      <c r="AG190" s="1377">
        <f>IF(X190&gt;=1,(AB190*12+AD190)-(X190*12+Z190)+1,"")</f>
        <v>10</v>
      </c>
      <c r="AH190" s="1379" t="s">
        <v>38</v>
      </c>
      <c r="AI190" s="1381"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315"/>
      <c r="B191" s="1301"/>
      <c r="C191" s="1302"/>
      <c r="D191" s="1302"/>
      <c r="E191" s="1302"/>
      <c r="F191" s="1303"/>
      <c r="G191" s="1268"/>
      <c r="H191" s="1268"/>
      <c r="I191" s="1268"/>
      <c r="J191" s="1443"/>
      <c r="K191" s="1268"/>
      <c r="L191" s="1454"/>
      <c r="M191" s="1463"/>
      <c r="N191" s="1399" t="str">
        <f>IF('別紙様式2-2（４・５月分）'!Q147="","",'別紙様式2-2（４・５月分）'!Q147)</f>
        <v/>
      </c>
      <c r="O191" s="1420"/>
      <c r="P191" s="1426"/>
      <c r="Q191" s="1427"/>
      <c r="R191" s="1428"/>
      <c r="S191" s="1430"/>
      <c r="T191" s="1432"/>
      <c r="U191" s="1577"/>
      <c r="V191" s="1436"/>
      <c r="W191" s="1438"/>
      <c r="X191" s="1575"/>
      <c r="Y191" s="1378"/>
      <c r="Z191" s="1575"/>
      <c r="AA191" s="1378"/>
      <c r="AB191" s="1575"/>
      <c r="AC191" s="1378"/>
      <c r="AD191" s="1575"/>
      <c r="AE191" s="1378"/>
      <c r="AF191" s="1378"/>
      <c r="AG191" s="1378"/>
      <c r="AH191" s="1380"/>
      <c r="AI191" s="1382"/>
      <c r="AJ191" s="1569"/>
      <c r="AK191" s="1571"/>
      <c r="AL191" s="1573"/>
      <c r="AM191" s="1564"/>
      <c r="AN191" s="1566"/>
      <c r="AO191" s="1394"/>
      <c r="AP191" s="1567"/>
      <c r="AQ191" s="1394"/>
      <c r="AR191" s="1536"/>
      <c r="AS191" s="1539"/>
      <c r="AT191" s="1537" t="str">
        <f t="shared" ref="AT191" si="170">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1"/>
      <c r="C192" s="1302"/>
      <c r="D192" s="1302"/>
      <c r="E192" s="1302"/>
      <c r="F192" s="1303"/>
      <c r="G192" s="1268"/>
      <c r="H192" s="1268"/>
      <c r="I192" s="1268"/>
      <c r="J192" s="1443"/>
      <c r="K192" s="1268"/>
      <c r="L192" s="1454"/>
      <c r="M192" s="1463"/>
      <c r="N192" s="1400"/>
      <c r="O192" s="1421"/>
      <c r="P192" s="1401" t="s">
        <v>2179</v>
      </c>
      <c r="Q192" s="1460" t="str">
        <f>IFERROR(VLOOKUP('別紙様式2-2（４・５月分）'!AR146,【参考】数式用!$AT$5:$AV$22,3,FALSE),"")</f>
        <v/>
      </c>
      <c r="R192" s="1405" t="s">
        <v>2190</v>
      </c>
      <c r="S192" s="1407" t="str">
        <f>IFERROR(VLOOKUP(K190,【参考】数式用!$A$5:$AB$27,MATCH(Q192,【参考】数式用!$B$4:$AB$4,0)+1,0),"")</f>
        <v/>
      </c>
      <c r="T192" s="1409" t="s">
        <v>2267</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2172</v>
      </c>
      <c r="AF192" s="1397" t="s">
        <v>24</v>
      </c>
      <c r="AG192" s="1397" t="str">
        <f>IF(X192&gt;=1,(AB192*12+AD192)-(X192*12+Z192)+1,"")</f>
        <v/>
      </c>
      <c r="AH192" s="1365" t="s">
        <v>38</v>
      </c>
      <c r="AI192" s="1489" t="str">
        <f t="shared" ref="AI192" si="171">IFERROR(ROUNDDOWN(ROUND(L190*V192,0)*M190,0)*AG192,"")</f>
        <v/>
      </c>
      <c r="AJ192" s="1553" t="str">
        <f>IFERROR(ROUNDDOWN(ROUND((L190*(V192-AX190)),0)*M190,0)*AG192,"")</f>
        <v/>
      </c>
      <c r="AK192" s="1371"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IF(AND(AB190&lt;&gt;7,AD190&lt;&gt;3),"V列に色付け","")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316"/>
      <c r="B193" s="1439"/>
      <c r="C193" s="1440"/>
      <c r="D193" s="1440"/>
      <c r="E193" s="1440"/>
      <c r="F193" s="1441"/>
      <c r="G193" s="1269"/>
      <c r="H193" s="1269"/>
      <c r="I193" s="1269"/>
      <c r="J193" s="1444"/>
      <c r="K193" s="1269"/>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66"/>
      <c r="AI193" s="1490"/>
      <c r="AJ193" s="1554"/>
      <c r="AK193" s="1372"/>
      <c r="AL193" s="1556"/>
      <c r="AM193" s="1558"/>
      <c r="AN193" s="1550"/>
      <c r="AO193" s="1530"/>
      <c r="AP193" s="1552"/>
      <c r="AQ193" s="1530"/>
      <c r="AR193" s="1532"/>
      <c r="AS193" s="153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43"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2258</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7" t="s">
        <v>10</v>
      </c>
      <c r="Z194" s="1574">
        <f>'別紙様式2-3（６月以降分）'!Z194</f>
        <v>6</v>
      </c>
      <c r="AA194" s="1377" t="s">
        <v>45</v>
      </c>
      <c r="AB194" s="1574">
        <f>'別紙様式2-3（６月以降分）'!AB194</f>
        <v>7</v>
      </c>
      <c r="AC194" s="1377" t="s">
        <v>10</v>
      </c>
      <c r="AD194" s="1574">
        <f>'別紙様式2-3（６月以降分）'!AD194</f>
        <v>3</v>
      </c>
      <c r="AE194" s="1377" t="s">
        <v>2172</v>
      </c>
      <c r="AF194" s="1377" t="s">
        <v>24</v>
      </c>
      <c r="AG194" s="1377">
        <f>IF(X194&gt;=1,(AB194*12+AD194)-(X194*12+Z194)+1,"")</f>
        <v>10</v>
      </c>
      <c r="AH194" s="1379" t="s">
        <v>38</v>
      </c>
      <c r="AI194" s="1381"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315"/>
      <c r="B195" s="1301"/>
      <c r="C195" s="1302"/>
      <c r="D195" s="1302"/>
      <c r="E195" s="1302"/>
      <c r="F195" s="1303"/>
      <c r="G195" s="1268"/>
      <c r="H195" s="1268"/>
      <c r="I195" s="1268"/>
      <c r="J195" s="1443"/>
      <c r="K195" s="1268"/>
      <c r="L195" s="1454"/>
      <c r="M195" s="1456"/>
      <c r="N195" s="1399" t="str">
        <f>IF('別紙様式2-2（４・５月分）'!Q150="","",'別紙様式2-2（４・５月分）'!Q150)</f>
        <v/>
      </c>
      <c r="O195" s="1420"/>
      <c r="P195" s="1426"/>
      <c r="Q195" s="1427"/>
      <c r="R195" s="1428"/>
      <c r="S195" s="1430"/>
      <c r="T195" s="1432"/>
      <c r="U195" s="1577"/>
      <c r="V195" s="1436"/>
      <c r="W195" s="1438"/>
      <c r="X195" s="1575"/>
      <c r="Y195" s="1378"/>
      <c r="Z195" s="1575"/>
      <c r="AA195" s="1378"/>
      <c r="AB195" s="1575"/>
      <c r="AC195" s="1378"/>
      <c r="AD195" s="1575"/>
      <c r="AE195" s="1378"/>
      <c r="AF195" s="1378"/>
      <c r="AG195" s="1378"/>
      <c r="AH195" s="1380"/>
      <c r="AI195" s="1382"/>
      <c r="AJ195" s="1569"/>
      <c r="AK195" s="1571"/>
      <c r="AL195" s="1573"/>
      <c r="AM195" s="1564"/>
      <c r="AN195" s="1566"/>
      <c r="AO195" s="1394"/>
      <c r="AP195" s="1567"/>
      <c r="AQ195" s="1394"/>
      <c r="AR195" s="1536"/>
      <c r="AS195" s="1539"/>
      <c r="AT195" s="1537" t="str">
        <f t="shared" ref="AT195" si="174">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1"/>
      <c r="C196" s="1302"/>
      <c r="D196" s="1302"/>
      <c r="E196" s="1302"/>
      <c r="F196" s="1303"/>
      <c r="G196" s="1268"/>
      <c r="H196" s="1268"/>
      <c r="I196" s="1268"/>
      <c r="J196" s="1443"/>
      <c r="K196" s="1268"/>
      <c r="L196" s="1454"/>
      <c r="M196" s="1456"/>
      <c r="N196" s="1400"/>
      <c r="O196" s="1421"/>
      <c r="P196" s="1401" t="s">
        <v>2179</v>
      </c>
      <c r="Q196" s="1460" t="str">
        <f>IFERROR(VLOOKUP('別紙様式2-2（４・５月分）'!AR149,【参考】数式用!$AT$5:$AV$22,3,FALSE),"")</f>
        <v/>
      </c>
      <c r="R196" s="1405" t="s">
        <v>2190</v>
      </c>
      <c r="S196" s="1447" t="str">
        <f>IFERROR(VLOOKUP(K194,【参考】数式用!$A$5:$AB$27,MATCH(Q196,【参考】数式用!$B$4:$AB$4,0)+1,0),"")</f>
        <v/>
      </c>
      <c r="T196" s="1409" t="s">
        <v>2267</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2172</v>
      </c>
      <c r="AF196" s="1397" t="s">
        <v>24</v>
      </c>
      <c r="AG196" s="1397" t="str">
        <f>IF(X196&gt;=1,(AB196*12+AD196)-(X196*12+Z196)+1,"")</f>
        <v/>
      </c>
      <c r="AH196" s="1365" t="s">
        <v>38</v>
      </c>
      <c r="AI196" s="1489" t="str">
        <f t="shared" ref="AI196" si="175">IFERROR(ROUNDDOWN(ROUND(L194*V196,0)*M194,0)*AG196,"")</f>
        <v/>
      </c>
      <c r="AJ196" s="1553" t="str">
        <f>IFERROR(ROUNDDOWN(ROUND((L194*(V196-AX194)),0)*M194,0)*AG196,"")</f>
        <v/>
      </c>
      <c r="AK196" s="1371"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IF(AND(AB194&lt;&gt;7,AD194&lt;&gt;3),"V列に色付け","")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316"/>
      <c r="B197" s="1439"/>
      <c r="C197" s="1440"/>
      <c r="D197" s="1440"/>
      <c r="E197" s="1440"/>
      <c r="F197" s="1441"/>
      <c r="G197" s="1269"/>
      <c r="H197" s="1269"/>
      <c r="I197" s="1269"/>
      <c r="J197" s="1444"/>
      <c r="K197" s="1269"/>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66"/>
      <c r="AI197" s="1490"/>
      <c r="AJ197" s="1554"/>
      <c r="AK197" s="1372"/>
      <c r="AL197" s="1556"/>
      <c r="AM197" s="1558"/>
      <c r="AN197" s="1550"/>
      <c r="AO197" s="1530"/>
      <c r="AP197" s="1552"/>
      <c r="AQ197" s="1530"/>
      <c r="AR197" s="1532"/>
      <c r="AS197" s="153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314">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42" t="str">
        <f>IF(基本情報入力シート!X100="","",基本情報入力シート!X100)</f>
        <v/>
      </c>
      <c r="K198" s="1267"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2258</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7" t="s">
        <v>10</v>
      </c>
      <c r="Z198" s="1574">
        <f>'別紙様式2-3（６月以降分）'!Z198</f>
        <v>6</v>
      </c>
      <c r="AA198" s="1377" t="s">
        <v>45</v>
      </c>
      <c r="AB198" s="1574">
        <f>'別紙様式2-3（６月以降分）'!AB198</f>
        <v>7</v>
      </c>
      <c r="AC198" s="1377" t="s">
        <v>10</v>
      </c>
      <c r="AD198" s="1574">
        <f>'別紙様式2-3（６月以降分）'!AD198</f>
        <v>3</v>
      </c>
      <c r="AE198" s="1377" t="s">
        <v>2172</v>
      </c>
      <c r="AF198" s="1377" t="s">
        <v>24</v>
      </c>
      <c r="AG198" s="1377">
        <f>IF(X198&gt;=1,(AB198*12+AD198)-(X198*12+Z198)+1,"")</f>
        <v>10</v>
      </c>
      <c r="AH198" s="1379" t="s">
        <v>38</v>
      </c>
      <c r="AI198" s="1381"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315"/>
      <c r="B199" s="1301"/>
      <c r="C199" s="1302"/>
      <c r="D199" s="1302"/>
      <c r="E199" s="1302"/>
      <c r="F199" s="1303"/>
      <c r="G199" s="1268"/>
      <c r="H199" s="1268"/>
      <c r="I199" s="1268"/>
      <c r="J199" s="1443"/>
      <c r="K199" s="1268"/>
      <c r="L199" s="1454"/>
      <c r="M199" s="1463"/>
      <c r="N199" s="1399" t="str">
        <f>IF('別紙様式2-2（４・５月分）'!Q153="","",'別紙様式2-2（４・５月分）'!Q153)</f>
        <v/>
      </c>
      <c r="O199" s="1420"/>
      <c r="P199" s="1426"/>
      <c r="Q199" s="1427"/>
      <c r="R199" s="1428"/>
      <c r="S199" s="1430"/>
      <c r="T199" s="1432"/>
      <c r="U199" s="1577"/>
      <c r="V199" s="1436"/>
      <c r="W199" s="1438"/>
      <c r="X199" s="1575"/>
      <c r="Y199" s="1378"/>
      <c r="Z199" s="1575"/>
      <c r="AA199" s="1378"/>
      <c r="AB199" s="1575"/>
      <c r="AC199" s="1378"/>
      <c r="AD199" s="1575"/>
      <c r="AE199" s="1378"/>
      <c r="AF199" s="1378"/>
      <c r="AG199" s="1378"/>
      <c r="AH199" s="1380"/>
      <c r="AI199" s="1382"/>
      <c r="AJ199" s="1569"/>
      <c r="AK199" s="1571"/>
      <c r="AL199" s="1573"/>
      <c r="AM199" s="1564"/>
      <c r="AN199" s="1566"/>
      <c r="AO199" s="1394"/>
      <c r="AP199" s="1567"/>
      <c r="AQ199" s="1394"/>
      <c r="AR199" s="1536"/>
      <c r="AS199" s="1539"/>
      <c r="AT199" s="1537" t="str">
        <f t="shared" ref="AT199" si="178">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1"/>
      <c r="C200" s="1302"/>
      <c r="D200" s="1302"/>
      <c r="E200" s="1302"/>
      <c r="F200" s="1303"/>
      <c r="G200" s="1268"/>
      <c r="H200" s="1268"/>
      <c r="I200" s="1268"/>
      <c r="J200" s="1443"/>
      <c r="K200" s="1268"/>
      <c r="L200" s="1454"/>
      <c r="M200" s="1463"/>
      <c r="N200" s="1400"/>
      <c r="O200" s="1421"/>
      <c r="P200" s="1401" t="s">
        <v>2179</v>
      </c>
      <c r="Q200" s="1460" t="str">
        <f>IFERROR(VLOOKUP('別紙様式2-2（４・５月分）'!AR152,【参考】数式用!$AT$5:$AV$22,3,FALSE),"")</f>
        <v/>
      </c>
      <c r="R200" s="1405" t="s">
        <v>2190</v>
      </c>
      <c r="S200" s="1407" t="str">
        <f>IFERROR(VLOOKUP(K198,【参考】数式用!$A$5:$AB$27,MATCH(Q200,【参考】数式用!$B$4:$AB$4,0)+1,0),"")</f>
        <v/>
      </c>
      <c r="T200" s="1409" t="s">
        <v>2267</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2172</v>
      </c>
      <c r="AF200" s="1397" t="s">
        <v>24</v>
      </c>
      <c r="AG200" s="1397" t="str">
        <f>IF(X200&gt;=1,(AB200*12+AD200)-(X200*12+Z200)+1,"")</f>
        <v/>
      </c>
      <c r="AH200" s="1365" t="s">
        <v>38</v>
      </c>
      <c r="AI200" s="1489" t="str">
        <f t="shared" ref="AI200" si="179">IFERROR(ROUNDDOWN(ROUND(L198*V200,0)*M198,0)*AG200,"")</f>
        <v/>
      </c>
      <c r="AJ200" s="1553" t="str">
        <f>IFERROR(ROUNDDOWN(ROUND((L198*(V200-AX198)),0)*M198,0)*AG200,"")</f>
        <v/>
      </c>
      <c r="AK200" s="1371"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IF(AND(AB198&lt;&gt;7,AD198&lt;&gt;3),"V列に色付け","")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316"/>
      <c r="B201" s="1439"/>
      <c r="C201" s="1440"/>
      <c r="D201" s="1440"/>
      <c r="E201" s="1440"/>
      <c r="F201" s="1441"/>
      <c r="G201" s="1269"/>
      <c r="H201" s="1269"/>
      <c r="I201" s="1269"/>
      <c r="J201" s="1444"/>
      <c r="K201" s="1269"/>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66"/>
      <c r="AI201" s="1490"/>
      <c r="AJ201" s="1554"/>
      <c r="AK201" s="1372"/>
      <c r="AL201" s="1556"/>
      <c r="AM201" s="1558"/>
      <c r="AN201" s="1550"/>
      <c r="AO201" s="1530"/>
      <c r="AP201" s="1552"/>
      <c r="AQ201" s="1530"/>
      <c r="AR201" s="1532"/>
      <c r="AS201" s="153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43"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2258</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7" t="s">
        <v>10</v>
      </c>
      <c r="Z202" s="1574">
        <f>'別紙様式2-3（６月以降分）'!Z202</f>
        <v>6</v>
      </c>
      <c r="AA202" s="1377" t="s">
        <v>45</v>
      </c>
      <c r="AB202" s="1574">
        <f>'別紙様式2-3（６月以降分）'!AB202</f>
        <v>7</v>
      </c>
      <c r="AC202" s="1377" t="s">
        <v>10</v>
      </c>
      <c r="AD202" s="1574">
        <f>'別紙様式2-3（６月以降分）'!AD202</f>
        <v>3</v>
      </c>
      <c r="AE202" s="1377" t="s">
        <v>2172</v>
      </c>
      <c r="AF202" s="1377" t="s">
        <v>24</v>
      </c>
      <c r="AG202" s="1377">
        <f>IF(X202&gt;=1,(AB202*12+AD202)-(X202*12+Z202)+1,"")</f>
        <v>10</v>
      </c>
      <c r="AH202" s="1379" t="s">
        <v>38</v>
      </c>
      <c r="AI202" s="1381"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315"/>
      <c r="B203" s="1301"/>
      <c r="C203" s="1302"/>
      <c r="D203" s="1302"/>
      <c r="E203" s="1302"/>
      <c r="F203" s="1303"/>
      <c r="G203" s="1268"/>
      <c r="H203" s="1268"/>
      <c r="I203" s="1268"/>
      <c r="J203" s="1443"/>
      <c r="K203" s="1268"/>
      <c r="L203" s="1454"/>
      <c r="M203" s="1456"/>
      <c r="N203" s="1399" t="str">
        <f>IF('別紙様式2-2（４・５月分）'!Q156="","",'別紙様式2-2（４・５月分）'!Q156)</f>
        <v/>
      </c>
      <c r="O203" s="1420"/>
      <c r="P203" s="1426"/>
      <c r="Q203" s="1427"/>
      <c r="R203" s="1428"/>
      <c r="S203" s="1430"/>
      <c r="T203" s="1432"/>
      <c r="U203" s="1577"/>
      <c r="V203" s="1436"/>
      <c r="W203" s="1438"/>
      <c r="X203" s="1575"/>
      <c r="Y203" s="1378"/>
      <c r="Z203" s="1575"/>
      <c r="AA203" s="1378"/>
      <c r="AB203" s="1575"/>
      <c r="AC203" s="1378"/>
      <c r="AD203" s="1575"/>
      <c r="AE203" s="1378"/>
      <c r="AF203" s="1378"/>
      <c r="AG203" s="1378"/>
      <c r="AH203" s="1380"/>
      <c r="AI203" s="1382"/>
      <c r="AJ203" s="1569"/>
      <c r="AK203" s="1571"/>
      <c r="AL203" s="1573"/>
      <c r="AM203" s="1564"/>
      <c r="AN203" s="1566"/>
      <c r="AO203" s="1394"/>
      <c r="AP203" s="1567"/>
      <c r="AQ203" s="1394"/>
      <c r="AR203" s="1536"/>
      <c r="AS203" s="1539"/>
      <c r="AT203" s="1537" t="str">
        <f t="shared" ref="AT203" si="182">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1"/>
      <c r="C204" s="1302"/>
      <c r="D204" s="1302"/>
      <c r="E204" s="1302"/>
      <c r="F204" s="1303"/>
      <c r="G204" s="1268"/>
      <c r="H204" s="1268"/>
      <c r="I204" s="1268"/>
      <c r="J204" s="1443"/>
      <c r="K204" s="1268"/>
      <c r="L204" s="1454"/>
      <c r="M204" s="1456"/>
      <c r="N204" s="1400"/>
      <c r="O204" s="1421"/>
      <c r="P204" s="1401" t="s">
        <v>2179</v>
      </c>
      <c r="Q204" s="1460" t="str">
        <f>IFERROR(VLOOKUP('別紙様式2-2（４・５月分）'!AR155,【参考】数式用!$AT$5:$AV$22,3,FALSE),"")</f>
        <v/>
      </c>
      <c r="R204" s="1405" t="s">
        <v>2190</v>
      </c>
      <c r="S204" s="1447" t="str">
        <f>IFERROR(VLOOKUP(K202,【参考】数式用!$A$5:$AB$27,MATCH(Q204,【参考】数式用!$B$4:$AB$4,0)+1,0),"")</f>
        <v/>
      </c>
      <c r="T204" s="1409" t="s">
        <v>2267</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2172</v>
      </c>
      <c r="AF204" s="1397" t="s">
        <v>24</v>
      </c>
      <c r="AG204" s="1397" t="str">
        <f>IF(X204&gt;=1,(AB204*12+AD204)-(X204*12+Z204)+1,"")</f>
        <v/>
      </c>
      <c r="AH204" s="1365" t="s">
        <v>38</v>
      </c>
      <c r="AI204" s="1489" t="str">
        <f t="shared" ref="AI204" si="183">IFERROR(ROUNDDOWN(ROUND(L202*V204,0)*M202,0)*AG204,"")</f>
        <v/>
      </c>
      <c r="AJ204" s="1553" t="str">
        <f>IFERROR(ROUNDDOWN(ROUND((L202*(V204-AX202)),0)*M202,0)*AG204,"")</f>
        <v/>
      </c>
      <c r="AK204" s="1371"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IF(AND(AB202&lt;&gt;7,AD202&lt;&gt;3),"V列に色付け","")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316"/>
      <c r="B205" s="1439"/>
      <c r="C205" s="1440"/>
      <c r="D205" s="1440"/>
      <c r="E205" s="1440"/>
      <c r="F205" s="1441"/>
      <c r="G205" s="1269"/>
      <c r="H205" s="1269"/>
      <c r="I205" s="1269"/>
      <c r="J205" s="1444"/>
      <c r="K205" s="1269"/>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66"/>
      <c r="AI205" s="1490"/>
      <c r="AJ205" s="1554"/>
      <c r="AK205" s="1372"/>
      <c r="AL205" s="1556"/>
      <c r="AM205" s="1558"/>
      <c r="AN205" s="1550"/>
      <c r="AO205" s="1530"/>
      <c r="AP205" s="1552"/>
      <c r="AQ205" s="1530"/>
      <c r="AR205" s="1532"/>
      <c r="AS205" s="153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314">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42" t="str">
        <f>IF(基本情報入力シート!X102="","",基本情報入力シート!X102)</f>
        <v/>
      </c>
      <c r="K206" s="1267"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2258</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7" t="s">
        <v>10</v>
      </c>
      <c r="Z206" s="1574">
        <f>'別紙様式2-3（６月以降分）'!Z206</f>
        <v>6</v>
      </c>
      <c r="AA206" s="1377" t="s">
        <v>45</v>
      </c>
      <c r="AB206" s="1574">
        <f>'別紙様式2-3（６月以降分）'!AB206</f>
        <v>7</v>
      </c>
      <c r="AC206" s="1377" t="s">
        <v>10</v>
      </c>
      <c r="AD206" s="1574">
        <f>'別紙様式2-3（６月以降分）'!AD206</f>
        <v>3</v>
      </c>
      <c r="AE206" s="1377" t="s">
        <v>2172</v>
      </c>
      <c r="AF206" s="1377" t="s">
        <v>24</v>
      </c>
      <c r="AG206" s="1377">
        <f>IF(X206&gt;=1,(AB206*12+AD206)-(X206*12+Z206)+1,"")</f>
        <v>10</v>
      </c>
      <c r="AH206" s="1379" t="s">
        <v>38</v>
      </c>
      <c r="AI206" s="1381"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315"/>
      <c r="B207" s="1301"/>
      <c r="C207" s="1302"/>
      <c r="D207" s="1302"/>
      <c r="E207" s="1302"/>
      <c r="F207" s="1303"/>
      <c r="G207" s="1268"/>
      <c r="H207" s="1268"/>
      <c r="I207" s="1268"/>
      <c r="J207" s="1443"/>
      <c r="K207" s="1268"/>
      <c r="L207" s="1454"/>
      <c r="M207" s="1463"/>
      <c r="N207" s="1399" t="str">
        <f>IF('別紙様式2-2（４・５月分）'!Q159="","",'別紙様式2-2（４・５月分）'!Q159)</f>
        <v/>
      </c>
      <c r="O207" s="1420"/>
      <c r="P207" s="1426"/>
      <c r="Q207" s="1427"/>
      <c r="R207" s="1428"/>
      <c r="S207" s="1430"/>
      <c r="T207" s="1432"/>
      <c r="U207" s="1577"/>
      <c r="V207" s="1436"/>
      <c r="W207" s="1438"/>
      <c r="X207" s="1575"/>
      <c r="Y207" s="1378"/>
      <c r="Z207" s="1575"/>
      <c r="AA207" s="1378"/>
      <c r="AB207" s="1575"/>
      <c r="AC207" s="1378"/>
      <c r="AD207" s="1575"/>
      <c r="AE207" s="1378"/>
      <c r="AF207" s="1378"/>
      <c r="AG207" s="1378"/>
      <c r="AH207" s="1380"/>
      <c r="AI207" s="1382"/>
      <c r="AJ207" s="1569"/>
      <c r="AK207" s="1571"/>
      <c r="AL207" s="1573"/>
      <c r="AM207" s="1564"/>
      <c r="AN207" s="1566"/>
      <c r="AO207" s="1394"/>
      <c r="AP207" s="1567"/>
      <c r="AQ207" s="1394"/>
      <c r="AR207" s="1536"/>
      <c r="AS207" s="1539"/>
      <c r="AT207" s="1537" t="str">
        <f t="shared" ref="AT207" si="186">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1"/>
      <c r="C208" s="1302"/>
      <c r="D208" s="1302"/>
      <c r="E208" s="1302"/>
      <c r="F208" s="1303"/>
      <c r="G208" s="1268"/>
      <c r="H208" s="1268"/>
      <c r="I208" s="1268"/>
      <c r="J208" s="1443"/>
      <c r="K208" s="1268"/>
      <c r="L208" s="1454"/>
      <c r="M208" s="1463"/>
      <c r="N208" s="1400"/>
      <c r="O208" s="1421"/>
      <c r="P208" s="1401" t="s">
        <v>2179</v>
      </c>
      <c r="Q208" s="1460" t="str">
        <f>IFERROR(VLOOKUP('別紙様式2-2（４・５月分）'!AR158,【参考】数式用!$AT$5:$AV$22,3,FALSE),"")</f>
        <v/>
      </c>
      <c r="R208" s="1405" t="s">
        <v>2190</v>
      </c>
      <c r="S208" s="1407" t="str">
        <f>IFERROR(VLOOKUP(K206,【参考】数式用!$A$5:$AB$27,MATCH(Q208,【参考】数式用!$B$4:$AB$4,0)+1,0),"")</f>
        <v/>
      </c>
      <c r="T208" s="1409" t="s">
        <v>2267</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2172</v>
      </c>
      <c r="AF208" s="1397" t="s">
        <v>24</v>
      </c>
      <c r="AG208" s="1397" t="str">
        <f>IF(X208&gt;=1,(AB208*12+AD208)-(X208*12+Z208)+1,"")</f>
        <v/>
      </c>
      <c r="AH208" s="1365" t="s">
        <v>38</v>
      </c>
      <c r="AI208" s="1489" t="str">
        <f t="shared" ref="AI208" si="187">IFERROR(ROUNDDOWN(ROUND(L206*V208,0)*M206,0)*AG208,"")</f>
        <v/>
      </c>
      <c r="AJ208" s="1553" t="str">
        <f>IFERROR(ROUNDDOWN(ROUND((L206*(V208-AX206)),0)*M206,0)*AG208,"")</f>
        <v/>
      </c>
      <c r="AK208" s="1371"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IF(AND(AB206&lt;&gt;7,AD206&lt;&gt;3),"V列に色付け","")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316"/>
      <c r="B209" s="1439"/>
      <c r="C209" s="1440"/>
      <c r="D209" s="1440"/>
      <c r="E209" s="1440"/>
      <c r="F209" s="1441"/>
      <c r="G209" s="1269"/>
      <c r="H209" s="1269"/>
      <c r="I209" s="1269"/>
      <c r="J209" s="1444"/>
      <c r="K209" s="1269"/>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66"/>
      <c r="AI209" s="1490"/>
      <c r="AJ209" s="1554"/>
      <c r="AK209" s="1372"/>
      <c r="AL209" s="1556"/>
      <c r="AM209" s="1558"/>
      <c r="AN209" s="1550"/>
      <c r="AO209" s="1530"/>
      <c r="AP209" s="1552"/>
      <c r="AQ209" s="1530"/>
      <c r="AR209" s="1532"/>
      <c r="AS209" s="153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43"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2258</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7" t="s">
        <v>10</v>
      </c>
      <c r="Z210" s="1574">
        <f>'別紙様式2-3（６月以降分）'!Z210</f>
        <v>6</v>
      </c>
      <c r="AA210" s="1377" t="s">
        <v>45</v>
      </c>
      <c r="AB210" s="1574">
        <f>'別紙様式2-3（６月以降分）'!AB210</f>
        <v>7</v>
      </c>
      <c r="AC210" s="1377" t="s">
        <v>10</v>
      </c>
      <c r="AD210" s="1574">
        <f>'別紙様式2-3（６月以降分）'!AD210</f>
        <v>3</v>
      </c>
      <c r="AE210" s="1377" t="s">
        <v>2172</v>
      </c>
      <c r="AF210" s="1377" t="s">
        <v>24</v>
      </c>
      <c r="AG210" s="1377">
        <f>IF(X210&gt;=1,(AB210*12+AD210)-(X210*12+Z210)+1,"")</f>
        <v>10</v>
      </c>
      <c r="AH210" s="1379" t="s">
        <v>38</v>
      </c>
      <c r="AI210" s="1381"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315"/>
      <c r="B211" s="1301"/>
      <c r="C211" s="1302"/>
      <c r="D211" s="1302"/>
      <c r="E211" s="1302"/>
      <c r="F211" s="1303"/>
      <c r="G211" s="1268"/>
      <c r="H211" s="1268"/>
      <c r="I211" s="1268"/>
      <c r="J211" s="1443"/>
      <c r="K211" s="1268"/>
      <c r="L211" s="1454"/>
      <c r="M211" s="1456"/>
      <c r="N211" s="1399" t="str">
        <f>IF('別紙様式2-2（４・５月分）'!Q162="","",'別紙様式2-2（４・５月分）'!Q162)</f>
        <v/>
      </c>
      <c r="O211" s="1420"/>
      <c r="P211" s="1426"/>
      <c r="Q211" s="1427"/>
      <c r="R211" s="1428"/>
      <c r="S211" s="1430"/>
      <c r="T211" s="1432"/>
      <c r="U211" s="1577"/>
      <c r="V211" s="1436"/>
      <c r="W211" s="1438"/>
      <c r="X211" s="1575"/>
      <c r="Y211" s="1378"/>
      <c r="Z211" s="1575"/>
      <c r="AA211" s="1378"/>
      <c r="AB211" s="1575"/>
      <c r="AC211" s="1378"/>
      <c r="AD211" s="1575"/>
      <c r="AE211" s="1378"/>
      <c r="AF211" s="1378"/>
      <c r="AG211" s="1378"/>
      <c r="AH211" s="1380"/>
      <c r="AI211" s="1382"/>
      <c r="AJ211" s="1569"/>
      <c r="AK211" s="1571"/>
      <c r="AL211" s="1573"/>
      <c r="AM211" s="1564"/>
      <c r="AN211" s="1566"/>
      <c r="AO211" s="1394"/>
      <c r="AP211" s="1567"/>
      <c r="AQ211" s="1394"/>
      <c r="AR211" s="1536"/>
      <c r="AS211" s="1539"/>
      <c r="AT211" s="1537" t="str">
        <f t="shared" ref="AT211" si="190">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1"/>
      <c r="C212" s="1302"/>
      <c r="D212" s="1302"/>
      <c r="E212" s="1302"/>
      <c r="F212" s="1303"/>
      <c r="G212" s="1268"/>
      <c r="H212" s="1268"/>
      <c r="I212" s="1268"/>
      <c r="J212" s="1443"/>
      <c r="K212" s="1268"/>
      <c r="L212" s="1454"/>
      <c r="M212" s="1456"/>
      <c r="N212" s="1400"/>
      <c r="O212" s="1421"/>
      <c r="P212" s="1401" t="s">
        <v>2179</v>
      </c>
      <c r="Q212" s="1460" t="str">
        <f>IFERROR(VLOOKUP('別紙様式2-2（４・５月分）'!AR161,【参考】数式用!$AT$5:$AV$22,3,FALSE),"")</f>
        <v/>
      </c>
      <c r="R212" s="1405" t="s">
        <v>2190</v>
      </c>
      <c r="S212" s="1447" t="str">
        <f>IFERROR(VLOOKUP(K210,【参考】数式用!$A$5:$AB$27,MATCH(Q212,【参考】数式用!$B$4:$AB$4,0)+1,0),"")</f>
        <v/>
      </c>
      <c r="T212" s="1409" t="s">
        <v>2267</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2172</v>
      </c>
      <c r="AF212" s="1397" t="s">
        <v>24</v>
      </c>
      <c r="AG212" s="1397" t="str">
        <f>IF(X212&gt;=1,(AB212*12+AD212)-(X212*12+Z212)+1,"")</f>
        <v/>
      </c>
      <c r="AH212" s="1365" t="s">
        <v>38</v>
      </c>
      <c r="AI212" s="1489" t="str">
        <f t="shared" ref="AI212" si="191">IFERROR(ROUNDDOWN(ROUND(L210*V212,0)*M210,0)*AG212,"")</f>
        <v/>
      </c>
      <c r="AJ212" s="1553" t="str">
        <f>IFERROR(ROUNDDOWN(ROUND((L210*(V212-AX210)),0)*M210,0)*AG212,"")</f>
        <v/>
      </c>
      <c r="AK212" s="1371"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IF(AND(AB210&lt;&gt;7,AD210&lt;&gt;3),"V列に色付け","")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316"/>
      <c r="B213" s="1439"/>
      <c r="C213" s="1440"/>
      <c r="D213" s="1440"/>
      <c r="E213" s="1440"/>
      <c r="F213" s="1441"/>
      <c r="G213" s="1269"/>
      <c r="H213" s="1269"/>
      <c r="I213" s="1269"/>
      <c r="J213" s="1444"/>
      <c r="K213" s="1269"/>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66"/>
      <c r="AI213" s="1490"/>
      <c r="AJ213" s="1554"/>
      <c r="AK213" s="1372"/>
      <c r="AL213" s="1556"/>
      <c r="AM213" s="1558"/>
      <c r="AN213" s="1550"/>
      <c r="AO213" s="1530"/>
      <c r="AP213" s="1552"/>
      <c r="AQ213" s="1530"/>
      <c r="AR213" s="1532"/>
      <c r="AS213" s="153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314">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42" t="str">
        <f>IF(基本情報入力シート!X104="","",基本情報入力シート!X104)</f>
        <v/>
      </c>
      <c r="K214" s="1267"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2258</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7" t="s">
        <v>10</v>
      </c>
      <c r="Z214" s="1574">
        <f>'別紙様式2-3（６月以降分）'!Z214</f>
        <v>6</v>
      </c>
      <c r="AA214" s="1377" t="s">
        <v>45</v>
      </c>
      <c r="AB214" s="1574">
        <f>'別紙様式2-3（６月以降分）'!AB214</f>
        <v>7</v>
      </c>
      <c r="AC214" s="1377" t="s">
        <v>10</v>
      </c>
      <c r="AD214" s="1574">
        <f>'別紙様式2-3（６月以降分）'!AD214</f>
        <v>3</v>
      </c>
      <c r="AE214" s="1377" t="s">
        <v>2172</v>
      </c>
      <c r="AF214" s="1377" t="s">
        <v>24</v>
      </c>
      <c r="AG214" s="1377">
        <f>IF(X214&gt;=1,(AB214*12+AD214)-(X214*12+Z214)+1,"")</f>
        <v>10</v>
      </c>
      <c r="AH214" s="1379" t="s">
        <v>38</v>
      </c>
      <c r="AI214" s="1381"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315"/>
      <c r="B215" s="1301"/>
      <c r="C215" s="1302"/>
      <c r="D215" s="1302"/>
      <c r="E215" s="1302"/>
      <c r="F215" s="1303"/>
      <c r="G215" s="1268"/>
      <c r="H215" s="1268"/>
      <c r="I215" s="1268"/>
      <c r="J215" s="1443"/>
      <c r="K215" s="1268"/>
      <c r="L215" s="1454"/>
      <c r="M215" s="1463"/>
      <c r="N215" s="1399" t="str">
        <f>IF('別紙様式2-2（４・５月分）'!Q165="","",'別紙様式2-2（４・５月分）'!Q165)</f>
        <v/>
      </c>
      <c r="O215" s="1420"/>
      <c r="P215" s="1426"/>
      <c r="Q215" s="1427"/>
      <c r="R215" s="1428"/>
      <c r="S215" s="1430"/>
      <c r="T215" s="1432"/>
      <c r="U215" s="1577"/>
      <c r="V215" s="1436"/>
      <c r="W215" s="1438"/>
      <c r="X215" s="1575"/>
      <c r="Y215" s="1378"/>
      <c r="Z215" s="1575"/>
      <c r="AA215" s="1378"/>
      <c r="AB215" s="1575"/>
      <c r="AC215" s="1378"/>
      <c r="AD215" s="1575"/>
      <c r="AE215" s="1378"/>
      <c r="AF215" s="1378"/>
      <c r="AG215" s="1378"/>
      <c r="AH215" s="1380"/>
      <c r="AI215" s="1382"/>
      <c r="AJ215" s="1569"/>
      <c r="AK215" s="1571"/>
      <c r="AL215" s="1573"/>
      <c r="AM215" s="1564"/>
      <c r="AN215" s="1566"/>
      <c r="AO215" s="1394"/>
      <c r="AP215" s="1567"/>
      <c r="AQ215" s="1394"/>
      <c r="AR215" s="1536"/>
      <c r="AS215" s="1539"/>
      <c r="AT215" s="1537" t="str">
        <f t="shared" ref="AT215" si="194">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1"/>
      <c r="C216" s="1302"/>
      <c r="D216" s="1302"/>
      <c r="E216" s="1302"/>
      <c r="F216" s="1303"/>
      <c r="G216" s="1268"/>
      <c r="H216" s="1268"/>
      <c r="I216" s="1268"/>
      <c r="J216" s="1443"/>
      <c r="K216" s="1268"/>
      <c r="L216" s="1454"/>
      <c r="M216" s="1463"/>
      <c r="N216" s="1400"/>
      <c r="O216" s="1421"/>
      <c r="P216" s="1401" t="s">
        <v>2179</v>
      </c>
      <c r="Q216" s="1460" t="str">
        <f>IFERROR(VLOOKUP('別紙様式2-2（４・５月分）'!AR164,【参考】数式用!$AT$5:$AV$22,3,FALSE),"")</f>
        <v/>
      </c>
      <c r="R216" s="1405" t="s">
        <v>2190</v>
      </c>
      <c r="S216" s="1407" t="str">
        <f>IFERROR(VLOOKUP(K214,【参考】数式用!$A$5:$AB$27,MATCH(Q216,【参考】数式用!$B$4:$AB$4,0)+1,0),"")</f>
        <v/>
      </c>
      <c r="T216" s="1409" t="s">
        <v>2267</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2172</v>
      </c>
      <c r="AF216" s="1397" t="s">
        <v>24</v>
      </c>
      <c r="AG216" s="1397" t="str">
        <f>IF(X216&gt;=1,(AB216*12+AD216)-(X216*12+Z216)+1,"")</f>
        <v/>
      </c>
      <c r="AH216" s="1365" t="s">
        <v>38</v>
      </c>
      <c r="AI216" s="1489" t="str">
        <f t="shared" ref="AI216" si="195">IFERROR(ROUNDDOWN(ROUND(L214*V216,0)*M214,0)*AG216,"")</f>
        <v/>
      </c>
      <c r="AJ216" s="1553" t="str">
        <f>IFERROR(ROUNDDOWN(ROUND((L214*(V216-AX214)),0)*M214,0)*AG216,"")</f>
        <v/>
      </c>
      <c r="AK216" s="1371"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IF(AND(AB214&lt;&gt;7,AD214&lt;&gt;3),"V列に色付け","")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316"/>
      <c r="B217" s="1439"/>
      <c r="C217" s="1440"/>
      <c r="D217" s="1440"/>
      <c r="E217" s="1440"/>
      <c r="F217" s="1441"/>
      <c r="G217" s="1269"/>
      <c r="H217" s="1269"/>
      <c r="I217" s="1269"/>
      <c r="J217" s="1444"/>
      <c r="K217" s="1269"/>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66"/>
      <c r="AI217" s="1490"/>
      <c r="AJ217" s="1554"/>
      <c r="AK217" s="1372"/>
      <c r="AL217" s="1556"/>
      <c r="AM217" s="1558"/>
      <c r="AN217" s="1550"/>
      <c r="AO217" s="1530"/>
      <c r="AP217" s="1552"/>
      <c r="AQ217" s="1530"/>
      <c r="AR217" s="1532"/>
      <c r="AS217" s="153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43"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2258</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7" t="s">
        <v>10</v>
      </c>
      <c r="Z218" s="1574">
        <f>'別紙様式2-3（６月以降分）'!Z218</f>
        <v>6</v>
      </c>
      <c r="AA218" s="1377" t="s">
        <v>45</v>
      </c>
      <c r="AB218" s="1574">
        <f>'別紙様式2-3（６月以降分）'!AB218</f>
        <v>7</v>
      </c>
      <c r="AC218" s="1377" t="s">
        <v>10</v>
      </c>
      <c r="AD218" s="1574">
        <f>'別紙様式2-3（６月以降分）'!AD218</f>
        <v>3</v>
      </c>
      <c r="AE218" s="1377" t="s">
        <v>2172</v>
      </c>
      <c r="AF218" s="1377" t="s">
        <v>24</v>
      </c>
      <c r="AG218" s="1377">
        <f>IF(X218&gt;=1,(AB218*12+AD218)-(X218*12+Z218)+1,"")</f>
        <v>10</v>
      </c>
      <c r="AH218" s="1379" t="s">
        <v>38</v>
      </c>
      <c r="AI218" s="1381"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315"/>
      <c r="B219" s="1301"/>
      <c r="C219" s="1302"/>
      <c r="D219" s="1302"/>
      <c r="E219" s="1302"/>
      <c r="F219" s="1303"/>
      <c r="G219" s="1268"/>
      <c r="H219" s="1268"/>
      <c r="I219" s="1268"/>
      <c r="J219" s="1443"/>
      <c r="K219" s="1268"/>
      <c r="L219" s="1454"/>
      <c r="M219" s="1456"/>
      <c r="N219" s="1399" t="str">
        <f>IF('別紙様式2-2（４・５月分）'!Q168="","",'別紙様式2-2（４・５月分）'!Q168)</f>
        <v/>
      </c>
      <c r="O219" s="1420"/>
      <c r="P219" s="1426"/>
      <c r="Q219" s="1427"/>
      <c r="R219" s="1428"/>
      <c r="S219" s="1430"/>
      <c r="T219" s="1432"/>
      <c r="U219" s="1577"/>
      <c r="V219" s="1436"/>
      <c r="W219" s="1438"/>
      <c r="X219" s="1575"/>
      <c r="Y219" s="1378"/>
      <c r="Z219" s="1575"/>
      <c r="AA219" s="1378"/>
      <c r="AB219" s="1575"/>
      <c r="AC219" s="1378"/>
      <c r="AD219" s="1575"/>
      <c r="AE219" s="1378"/>
      <c r="AF219" s="1378"/>
      <c r="AG219" s="1378"/>
      <c r="AH219" s="1380"/>
      <c r="AI219" s="1382"/>
      <c r="AJ219" s="1569"/>
      <c r="AK219" s="1571"/>
      <c r="AL219" s="1573"/>
      <c r="AM219" s="1564"/>
      <c r="AN219" s="1566"/>
      <c r="AO219" s="1394"/>
      <c r="AP219" s="1567"/>
      <c r="AQ219" s="1394"/>
      <c r="AR219" s="1536"/>
      <c r="AS219" s="1539"/>
      <c r="AT219" s="1537" t="str">
        <f t="shared" ref="AT219" si="19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1"/>
      <c r="C220" s="1302"/>
      <c r="D220" s="1302"/>
      <c r="E220" s="1302"/>
      <c r="F220" s="1303"/>
      <c r="G220" s="1268"/>
      <c r="H220" s="1268"/>
      <c r="I220" s="1268"/>
      <c r="J220" s="1443"/>
      <c r="K220" s="1268"/>
      <c r="L220" s="1454"/>
      <c r="M220" s="1456"/>
      <c r="N220" s="1400"/>
      <c r="O220" s="1421"/>
      <c r="P220" s="1401" t="s">
        <v>2179</v>
      </c>
      <c r="Q220" s="1460" t="str">
        <f>IFERROR(VLOOKUP('別紙様式2-2（４・５月分）'!AR167,【参考】数式用!$AT$5:$AV$22,3,FALSE),"")</f>
        <v/>
      </c>
      <c r="R220" s="1405" t="s">
        <v>2190</v>
      </c>
      <c r="S220" s="1447" t="str">
        <f>IFERROR(VLOOKUP(K218,【参考】数式用!$A$5:$AB$27,MATCH(Q220,【参考】数式用!$B$4:$AB$4,0)+1,0),"")</f>
        <v/>
      </c>
      <c r="T220" s="1409" t="s">
        <v>2267</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2172</v>
      </c>
      <c r="AF220" s="1397" t="s">
        <v>24</v>
      </c>
      <c r="AG220" s="1397" t="str">
        <f>IF(X220&gt;=1,(AB220*12+AD220)-(X220*12+Z220)+1,"")</f>
        <v/>
      </c>
      <c r="AH220" s="1365" t="s">
        <v>38</v>
      </c>
      <c r="AI220" s="1489" t="str">
        <f t="shared" ref="AI220" si="199">IFERROR(ROUNDDOWN(ROUND(L218*V220,0)*M218,0)*AG220,"")</f>
        <v/>
      </c>
      <c r="AJ220" s="1553" t="str">
        <f>IFERROR(ROUNDDOWN(ROUND((L218*(V220-AX218)),0)*M218,0)*AG220,"")</f>
        <v/>
      </c>
      <c r="AK220" s="1371"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IF(AND(AB218&lt;&gt;7,AD218&lt;&gt;3),"V列に色付け","")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316"/>
      <c r="B221" s="1439"/>
      <c r="C221" s="1440"/>
      <c r="D221" s="1440"/>
      <c r="E221" s="1440"/>
      <c r="F221" s="1441"/>
      <c r="G221" s="1269"/>
      <c r="H221" s="1269"/>
      <c r="I221" s="1269"/>
      <c r="J221" s="1444"/>
      <c r="K221" s="1269"/>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66"/>
      <c r="AI221" s="1490"/>
      <c r="AJ221" s="1554"/>
      <c r="AK221" s="1372"/>
      <c r="AL221" s="1556"/>
      <c r="AM221" s="1558"/>
      <c r="AN221" s="1550"/>
      <c r="AO221" s="1530"/>
      <c r="AP221" s="1552"/>
      <c r="AQ221" s="1530"/>
      <c r="AR221" s="1532"/>
      <c r="AS221" s="153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314">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42" t="str">
        <f>IF(基本情報入力シート!X106="","",基本情報入力シート!X106)</f>
        <v/>
      </c>
      <c r="K222" s="1267"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2258</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7" t="s">
        <v>10</v>
      </c>
      <c r="Z222" s="1574">
        <f>'別紙様式2-3（６月以降分）'!Z222</f>
        <v>6</v>
      </c>
      <c r="AA222" s="1377" t="s">
        <v>45</v>
      </c>
      <c r="AB222" s="1574">
        <f>'別紙様式2-3（６月以降分）'!AB222</f>
        <v>7</v>
      </c>
      <c r="AC222" s="1377" t="s">
        <v>10</v>
      </c>
      <c r="AD222" s="1574">
        <f>'別紙様式2-3（６月以降分）'!AD222</f>
        <v>3</v>
      </c>
      <c r="AE222" s="1377" t="s">
        <v>2172</v>
      </c>
      <c r="AF222" s="1377" t="s">
        <v>24</v>
      </c>
      <c r="AG222" s="1377">
        <f>IF(X222&gt;=1,(AB222*12+AD222)-(X222*12+Z222)+1,"")</f>
        <v>10</v>
      </c>
      <c r="AH222" s="1379" t="s">
        <v>38</v>
      </c>
      <c r="AI222" s="1381"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315"/>
      <c r="B223" s="1301"/>
      <c r="C223" s="1302"/>
      <c r="D223" s="1302"/>
      <c r="E223" s="1302"/>
      <c r="F223" s="1303"/>
      <c r="G223" s="1268"/>
      <c r="H223" s="1268"/>
      <c r="I223" s="1268"/>
      <c r="J223" s="1443"/>
      <c r="K223" s="1268"/>
      <c r="L223" s="1454"/>
      <c r="M223" s="1463"/>
      <c r="N223" s="1399" t="str">
        <f>IF('別紙様式2-2（４・５月分）'!Q171="","",'別紙様式2-2（４・５月分）'!Q171)</f>
        <v/>
      </c>
      <c r="O223" s="1420"/>
      <c r="P223" s="1426"/>
      <c r="Q223" s="1427"/>
      <c r="R223" s="1428"/>
      <c r="S223" s="1430"/>
      <c r="T223" s="1432"/>
      <c r="U223" s="1577"/>
      <c r="V223" s="1436"/>
      <c r="W223" s="1438"/>
      <c r="X223" s="1575"/>
      <c r="Y223" s="1378"/>
      <c r="Z223" s="1575"/>
      <c r="AA223" s="1378"/>
      <c r="AB223" s="1575"/>
      <c r="AC223" s="1378"/>
      <c r="AD223" s="1575"/>
      <c r="AE223" s="1378"/>
      <c r="AF223" s="1378"/>
      <c r="AG223" s="1378"/>
      <c r="AH223" s="1380"/>
      <c r="AI223" s="1382"/>
      <c r="AJ223" s="1569"/>
      <c r="AK223" s="1571"/>
      <c r="AL223" s="1573"/>
      <c r="AM223" s="1564"/>
      <c r="AN223" s="1566"/>
      <c r="AO223" s="1394"/>
      <c r="AP223" s="1567"/>
      <c r="AQ223" s="1394"/>
      <c r="AR223" s="1536"/>
      <c r="AS223" s="1539"/>
      <c r="AT223" s="1537" t="str">
        <f t="shared" ref="AT223" si="202">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1"/>
      <c r="C224" s="1302"/>
      <c r="D224" s="1302"/>
      <c r="E224" s="1302"/>
      <c r="F224" s="1303"/>
      <c r="G224" s="1268"/>
      <c r="H224" s="1268"/>
      <c r="I224" s="1268"/>
      <c r="J224" s="1443"/>
      <c r="K224" s="1268"/>
      <c r="L224" s="1454"/>
      <c r="M224" s="1463"/>
      <c r="N224" s="1400"/>
      <c r="O224" s="1421"/>
      <c r="P224" s="1401" t="s">
        <v>2179</v>
      </c>
      <c r="Q224" s="1460" t="str">
        <f>IFERROR(VLOOKUP('別紙様式2-2（４・５月分）'!AR170,【参考】数式用!$AT$5:$AV$22,3,FALSE),"")</f>
        <v/>
      </c>
      <c r="R224" s="1405" t="s">
        <v>2190</v>
      </c>
      <c r="S224" s="1407" t="str">
        <f>IFERROR(VLOOKUP(K222,【参考】数式用!$A$5:$AB$27,MATCH(Q224,【参考】数式用!$B$4:$AB$4,0)+1,0),"")</f>
        <v/>
      </c>
      <c r="T224" s="1409" t="s">
        <v>2267</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2172</v>
      </c>
      <c r="AF224" s="1397" t="s">
        <v>24</v>
      </c>
      <c r="AG224" s="1397" t="str">
        <f>IF(X224&gt;=1,(AB224*12+AD224)-(X224*12+Z224)+1,"")</f>
        <v/>
      </c>
      <c r="AH224" s="1365" t="s">
        <v>38</v>
      </c>
      <c r="AI224" s="1489" t="str">
        <f t="shared" ref="AI224" si="203">IFERROR(ROUNDDOWN(ROUND(L222*V224,0)*M222,0)*AG224,"")</f>
        <v/>
      </c>
      <c r="AJ224" s="1553" t="str">
        <f>IFERROR(ROUNDDOWN(ROUND((L222*(V224-AX222)),0)*M222,0)*AG224,"")</f>
        <v/>
      </c>
      <c r="AK224" s="1371"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IF(AND(AB222&lt;&gt;7,AD222&lt;&gt;3),"V列に色付け","")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316"/>
      <c r="B225" s="1439"/>
      <c r="C225" s="1440"/>
      <c r="D225" s="1440"/>
      <c r="E225" s="1440"/>
      <c r="F225" s="1441"/>
      <c r="G225" s="1269"/>
      <c r="H225" s="1269"/>
      <c r="I225" s="1269"/>
      <c r="J225" s="1444"/>
      <c r="K225" s="1269"/>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66"/>
      <c r="AI225" s="1490"/>
      <c r="AJ225" s="1554"/>
      <c r="AK225" s="1372"/>
      <c r="AL225" s="1556"/>
      <c r="AM225" s="1558"/>
      <c r="AN225" s="1550"/>
      <c r="AO225" s="1530"/>
      <c r="AP225" s="1552"/>
      <c r="AQ225" s="1530"/>
      <c r="AR225" s="1532"/>
      <c r="AS225" s="153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43"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2258</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7" t="s">
        <v>10</v>
      </c>
      <c r="Z226" s="1574">
        <f>'別紙様式2-3（６月以降分）'!Z226</f>
        <v>6</v>
      </c>
      <c r="AA226" s="1377" t="s">
        <v>45</v>
      </c>
      <c r="AB226" s="1574">
        <f>'別紙様式2-3（６月以降分）'!AB226</f>
        <v>7</v>
      </c>
      <c r="AC226" s="1377" t="s">
        <v>10</v>
      </c>
      <c r="AD226" s="1574">
        <f>'別紙様式2-3（６月以降分）'!AD226</f>
        <v>3</v>
      </c>
      <c r="AE226" s="1377" t="s">
        <v>2172</v>
      </c>
      <c r="AF226" s="1377" t="s">
        <v>24</v>
      </c>
      <c r="AG226" s="1377">
        <f>IF(X226&gt;=1,(AB226*12+AD226)-(X226*12+Z226)+1,"")</f>
        <v>10</v>
      </c>
      <c r="AH226" s="1379" t="s">
        <v>38</v>
      </c>
      <c r="AI226" s="1381"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315"/>
      <c r="B227" s="1301"/>
      <c r="C227" s="1302"/>
      <c r="D227" s="1302"/>
      <c r="E227" s="1302"/>
      <c r="F227" s="1303"/>
      <c r="G227" s="1268"/>
      <c r="H227" s="1268"/>
      <c r="I227" s="1268"/>
      <c r="J227" s="1443"/>
      <c r="K227" s="1268"/>
      <c r="L227" s="1454"/>
      <c r="M227" s="1456"/>
      <c r="N227" s="1399" t="str">
        <f>IF('別紙様式2-2（４・５月分）'!Q174="","",'別紙様式2-2（４・５月分）'!Q174)</f>
        <v/>
      </c>
      <c r="O227" s="1420"/>
      <c r="P227" s="1426"/>
      <c r="Q227" s="1427"/>
      <c r="R227" s="1428"/>
      <c r="S227" s="1430"/>
      <c r="T227" s="1432"/>
      <c r="U227" s="1577"/>
      <c r="V227" s="1436"/>
      <c r="W227" s="1438"/>
      <c r="X227" s="1575"/>
      <c r="Y227" s="1378"/>
      <c r="Z227" s="1575"/>
      <c r="AA227" s="1378"/>
      <c r="AB227" s="1575"/>
      <c r="AC227" s="1378"/>
      <c r="AD227" s="1575"/>
      <c r="AE227" s="1378"/>
      <c r="AF227" s="1378"/>
      <c r="AG227" s="1378"/>
      <c r="AH227" s="1380"/>
      <c r="AI227" s="1382"/>
      <c r="AJ227" s="1569"/>
      <c r="AK227" s="1571"/>
      <c r="AL227" s="1573"/>
      <c r="AM227" s="1564"/>
      <c r="AN227" s="1566"/>
      <c r="AO227" s="1394"/>
      <c r="AP227" s="1567"/>
      <c r="AQ227" s="1394"/>
      <c r="AR227" s="1536"/>
      <c r="AS227" s="1539"/>
      <c r="AT227" s="1537" t="str">
        <f t="shared" ref="AT227" si="206">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1"/>
      <c r="C228" s="1302"/>
      <c r="D228" s="1302"/>
      <c r="E228" s="1302"/>
      <c r="F228" s="1303"/>
      <c r="G228" s="1268"/>
      <c r="H228" s="1268"/>
      <c r="I228" s="1268"/>
      <c r="J228" s="1443"/>
      <c r="K228" s="1268"/>
      <c r="L228" s="1454"/>
      <c r="M228" s="1456"/>
      <c r="N228" s="1400"/>
      <c r="O228" s="1421"/>
      <c r="P228" s="1401" t="s">
        <v>2179</v>
      </c>
      <c r="Q228" s="1460" t="str">
        <f>IFERROR(VLOOKUP('別紙様式2-2（４・５月分）'!AR173,【参考】数式用!$AT$5:$AV$22,3,FALSE),"")</f>
        <v/>
      </c>
      <c r="R228" s="1405" t="s">
        <v>2190</v>
      </c>
      <c r="S228" s="1447" t="str">
        <f>IFERROR(VLOOKUP(K226,【参考】数式用!$A$5:$AB$27,MATCH(Q228,【参考】数式用!$B$4:$AB$4,0)+1,0),"")</f>
        <v/>
      </c>
      <c r="T228" s="1409" t="s">
        <v>2267</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2172</v>
      </c>
      <c r="AF228" s="1397" t="s">
        <v>24</v>
      </c>
      <c r="AG228" s="1397" t="str">
        <f>IF(X228&gt;=1,(AB228*12+AD228)-(X228*12+Z228)+1,"")</f>
        <v/>
      </c>
      <c r="AH228" s="1365" t="s">
        <v>38</v>
      </c>
      <c r="AI228" s="1489" t="str">
        <f t="shared" ref="AI228" si="207">IFERROR(ROUNDDOWN(ROUND(L226*V228,0)*M226,0)*AG228,"")</f>
        <v/>
      </c>
      <c r="AJ228" s="1553" t="str">
        <f>IFERROR(ROUNDDOWN(ROUND((L226*(V228-AX226)),0)*M226,0)*AG228,"")</f>
        <v/>
      </c>
      <c r="AK228" s="1371"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IF(AND(AB226&lt;&gt;7,AD226&lt;&gt;3),"V列に色付け","")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316"/>
      <c r="B229" s="1439"/>
      <c r="C229" s="1440"/>
      <c r="D229" s="1440"/>
      <c r="E229" s="1440"/>
      <c r="F229" s="1441"/>
      <c r="G229" s="1269"/>
      <c r="H229" s="1269"/>
      <c r="I229" s="1269"/>
      <c r="J229" s="1444"/>
      <c r="K229" s="1269"/>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66"/>
      <c r="AI229" s="1490"/>
      <c r="AJ229" s="1554"/>
      <c r="AK229" s="1372"/>
      <c r="AL229" s="1556"/>
      <c r="AM229" s="1558"/>
      <c r="AN229" s="1550"/>
      <c r="AO229" s="1530"/>
      <c r="AP229" s="1552"/>
      <c r="AQ229" s="1530"/>
      <c r="AR229" s="1532"/>
      <c r="AS229" s="153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314">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42" t="str">
        <f>IF(基本情報入力シート!X108="","",基本情報入力シート!X108)</f>
        <v/>
      </c>
      <c r="K230" s="1267"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2258</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7" t="s">
        <v>10</v>
      </c>
      <c r="Z230" s="1574">
        <f>'別紙様式2-3（６月以降分）'!Z230</f>
        <v>6</v>
      </c>
      <c r="AA230" s="1377" t="s">
        <v>45</v>
      </c>
      <c r="AB230" s="1574">
        <f>'別紙様式2-3（６月以降分）'!AB230</f>
        <v>7</v>
      </c>
      <c r="AC230" s="1377" t="s">
        <v>10</v>
      </c>
      <c r="AD230" s="1574">
        <f>'別紙様式2-3（６月以降分）'!AD230</f>
        <v>3</v>
      </c>
      <c r="AE230" s="1377" t="s">
        <v>2172</v>
      </c>
      <c r="AF230" s="1377" t="s">
        <v>24</v>
      </c>
      <c r="AG230" s="1377">
        <f>IF(X230&gt;=1,(AB230*12+AD230)-(X230*12+Z230)+1,"")</f>
        <v>10</v>
      </c>
      <c r="AH230" s="1379" t="s">
        <v>38</v>
      </c>
      <c r="AI230" s="1381"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315"/>
      <c r="B231" s="1301"/>
      <c r="C231" s="1302"/>
      <c r="D231" s="1302"/>
      <c r="E231" s="1302"/>
      <c r="F231" s="1303"/>
      <c r="G231" s="1268"/>
      <c r="H231" s="1268"/>
      <c r="I231" s="1268"/>
      <c r="J231" s="1443"/>
      <c r="K231" s="1268"/>
      <c r="L231" s="1454"/>
      <c r="M231" s="1463"/>
      <c r="N231" s="1399" t="str">
        <f>IF('別紙様式2-2（４・５月分）'!Q177="","",'別紙様式2-2（４・５月分）'!Q177)</f>
        <v/>
      </c>
      <c r="O231" s="1420"/>
      <c r="P231" s="1426"/>
      <c r="Q231" s="1427"/>
      <c r="R231" s="1428"/>
      <c r="S231" s="1430"/>
      <c r="T231" s="1432"/>
      <c r="U231" s="1577"/>
      <c r="V231" s="1436"/>
      <c r="W231" s="1438"/>
      <c r="X231" s="1575"/>
      <c r="Y231" s="1378"/>
      <c r="Z231" s="1575"/>
      <c r="AA231" s="1378"/>
      <c r="AB231" s="1575"/>
      <c r="AC231" s="1378"/>
      <c r="AD231" s="1575"/>
      <c r="AE231" s="1378"/>
      <c r="AF231" s="1378"/>
      <c r="AG231" s="1378"/>
      <c r="AH231" s="1380"/>
      <c r="AI231" s="1382"/>
      <c r="AJ231" s="1569"/>
      <c r="AK231" s="1571"/>
      <c r="AL231" s="1573"/>
      <c r="AM231" s="1564"/>
      <c r="AN231" s="1566"/>
      <c r="AO231" s="1394"/>
      <c r="AP231" s="1567"/>
      <c r="AQ231" s="1394"/>
      <c r="AR231" s="1536"/>
      <c r="AS231" s="1539"/>
      <c r="AT231" s="1537" t="str">
        <f t="shared" ref="AT231" si="210">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1"/>
      <c r="C232" s="1302"/>
      <c r="D232" s="1302"/>
      <c r="E232" s="1302"/>
      <c r="F232" s="1303"/>
      <c r="G232" s="1268"/>
      <c r="H232" s="1268"/>
      <c r="I232" s="1268"/>
      <c r="J232" s="1443"/>
      <c r="K232" s="1268"/>
      <c r="L232" s="1454"/>
      <c r="M232" s="1463"/>
      <c r="N232" s="1400"/>
      <c r="O232" s="1421"/>
      <c r="P232" s="1401" t="s">
        <v>2179</v>
      </c>
      <c r="Q232" s="1460" t="str">
        <f>IFERROR(VLOOKUP('別紙様式2-2（４・５月分）'!AR176,【参考】数式用!$AT$5:$AV$22,3,FALSE),"")</f>
        <v/>
      </c>
      <c r="R232" s="1405" t="s">
        <v>2190</v>
      </c>
      <c r="S232" s="1407" t="str">
        <f>IFERROR(VLOOKUP(K230,【参考】数式用!$A$5:$AB$27,MATCH(Q232,【参考】数式用!$B$4:$AB$4,0)+1,0),"")</f>
        <v/>
      </c>
      <c r="T232" s="1409" t="s">
        <v>2267</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2172</v>
      </c>
      <c r="AF232" s="1397" t="s">
        <v>24</v>
      </c>
      <c r="AG232" s="1397" t="str">
        <f>IF(X232&gt;=1,(AB232*12+AD232)-(X232*12+Z232)+1,"")</f>
        <v/>
      </c>
      <c r="AH232" s="1365" t="s">
        <v>38</v>
      </c>
      <c r="AI232" s="1489" t="str">
        <f t="shared" ref="AI232" si="211">IFERROR(ROUNDDOWN(ROUND(L230*V232,0)*M230,0)*AG232,"")</f>
        <v/>
      </c>
      <c r="AJ232" s="1553" t="str">
        <f>IFERROR(ROUNDDOWN(ROUND((L230*(V232-AX230)),0)*M230,0)*AG232,"")</f>
        <v/>
      </c>
      <c r="AK232" s="1371"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IF(AND(AB230&lt;&gt;7,AD230&lt;&gt;3),"V列に色付け","")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316"/>
      <c r="B233" s="1439"/>
      <c r="C233" s="1440"/>
      <c r="D233" s="1440"/>
      <c r="E233" s="1440"/>
      <c r="F233" s="1441"/>
      <c r="G233" s="1269"/>
      <c r="H233" s="1269"/>
      <c r="I233" s="1269"/>
      <c r="J233" s="1444"/>
      <c r="K233" s="1269"/>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66"/>
      <c r="AI233" s="1490"/>
      <c r="AJ233" s="1554"/>
      <c r="AK233" s="1372"/>
      <c r="AL233" s="1556"/>
      <c r="AM233" s="1558"/>
      <c r="AN233" s="1550"/>
      <c r="AO233" s="1530"/>
      <c r="AP233" s="1552"/>
      <c r="AQ233" s="1530"/>
      <c r="AR233" s="1532"/>
      <c r="AS233" s="153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43"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2258</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7" t="s">
        <v>10</v>
      </c>
      <c r="Z234" s="1574">
        <f>'別紙様式2-3（６月以降分）'!Z234</f>
        <v>6</v>
      </c>
      <c r="AA234" s="1377" t="s">
        <v>45</v>
      </c>
      <c r="AB234" s="1574">
        <f>'別紙様式2-3（６月以降分）'!AB234</f>
        <v>7</v>
      </c>
      <c r="AC234" s="1377" t="s">
        <v>10</v>
      </c>
      <c r="AD234" s="1574">
        <f>'別紙様式2-3（６月以降分）'!AD234</f>
        <v>3</v>
      </c>
      <c r="AE234" s="1377" t="s">
        <v>2172</v>
      </c>
      <c r="AF234" s="1377" t="s">
        <v>24</v>
      </c>
      <c r="AG234" s="1377">
        <f>IF(X234&gt;=1,(AB234*12+AD234)-(X234*12+Z234)+1,"")</f>
        <v>10</v>
      </c>
      <c r="AH234" s="1379" t="s">
        <v>38</v>
      </c>
      <c r="AI234" s="1381"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315"/>
      <c r="B235" s="1301"/>
      <c r="C235" s="1302"/>
      <c r="D235" s="1302"/>
      <c r="E235" s="1302"/>
      <c r="F235" s="1303"/>
      <c r="G235" s="1268"/>
      <c r="H235" s="1268"/>
      <c r="I235" s="1268"/>
      <c r="J235" s="1443"/>
      <c r="K235" s="1268"/>
      <c r="L235" s="1454"/>
      <c r="M235" s="1456"/>
      <c r="N235" s="1399" t="str">
        <f>IF('別紙様式2-2（４・５月分）'!Q180="","",'別紙様式2-2（４・５月分）'!Q180)</f>
        <v/>
      </c>
      <c r="O235" s="1420"/>
      <c r="P235" s="1426"/>
      <c r="Q235" s="1427"/>
      <c r="R235" s="1428"/>
      <c r="S235" s="1430"/>
      <c r="T235" s="1432"/>
      <c r="U235" s="1577"/>
      <c r="V235" s="1436"/>
      <c r="W235" s="1438"/>
      <c r="X235" s="1575"/>
      <c r="Y235" s="1378"/>
      <c r="Z235" s="1575"/>
      <c r="AA235" s="1378"/>
      <c r="AB235" s="1575"/>
      <c r="AC235" s="1378"/>
      <c r="AD235" s="1575"/>
      <c r="AE235" s="1378"/>
      <c r="AF235" s="1378"/>
      <c r="AG235" s="1378"/>
      <c r="AH235" s="1380"/>
      <c r="AI235" s="1382"/>
      <c r="AJ235" s="1569"/>
      <c r="AK235" s="1571"/>
      <c r="AL235" s="1573"/>
      <c r="AM235" s="1564"/>
      <c r="AN235" s="1566"/>
      <c r="AO235" s="1394"/>
      <c r="AP235" s="1567"/>
      <c r="AQ235" s="1394"/>
      <c r="AR235" s="1536"/>
      <c r="AS235" s="1539"/>
      <c r="AT235" s="1537" t="str">
        <f t="shared" ref="AT235" si="214">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1"/>
      <c r="C236" s="1302"/>
      <c r="D236" s="1302"/>
      <c r="E236" s="1302"/>
      <c r="F236" s="1303"/>
      <c r="G236" s="1268"/>
      <c r="H236" s="1268"/>
      <c r="I236" s="1268"/>
      <c r="J236" s="1443"/>
      <c r="K236" s="1268"/>
      <c r="L236" s="1454"/>
      <c r="M236" s="1456"/>
      <c r="N236" s="1400"/>
      <c r="O236" s="1421"/>
      <c r="P236" s="1401" t="s">
        <v>2179</v>
      </c>
      <c r="Q236" s="1460" t="str">
        <f>IFERROR(VLOOKUP('別紙様式2-2（４・５月分）'!AR179,【参考】数式用!$AT$5:$AV$22,3,FALSE),"")</f>
        <v/>
      </c>
      <c r="R236" s="1405" t="s">
        <v>2190</v>
      </c>
      <c r="S236" s="1447" t="str">
        <f>IFERROR(VLOOKUP(K234,【参考】数式用!$A$5:$AB$27,MATCH(Q236,【参考】数式用!$B$4:$AB$4,0)+1,0),"")</f>
        <v/>
      </c>
      <c r="T236" s="1409" t="s">
        <v>2267</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2172</v>
      </c>
      <c r="AF236" s="1397" t="s">
        <v>24</v>
      </c>
      <c r="AG236" s="1397" t="str">
        <f>IF(X236&gt;=1,(AB236*12+AD236)-(X236*12+Z236)+1,"")</f>
        <v/>
      </c>
      <c r="AH236" s="1365" t="s">
        <v>38</v>
      </c>
      <c r="AI236" s="1489" t="str">
        <f t="shared" ref="AI236" si="215">IFERROR(ROUNDDOWN(ROUND(L234*V236,0)*M234,0)*AG236,"")</f>
        <v/>
      </c>
      <c r="AJ236" s="1553" t="str">
        <f>IFERROR(ROUNDDOWN(ROUND((L234*(V236-AX234)),0)*M234,0)*AG236,"")</f>
        <v/>
      </c>
      <c r="AK236" s="1371"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IF(AND(AB234&lt;&gt;7,AD234&lt;&gt;3),"V列に色付け","")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316"/>
      <c r="B237" s="1439"/>
      <c r="C237" s="1440"/>
      <c r="D237" s="1440"/>
      <c r="E237" s="1440"/>
      <c r="F237" s="1441"/>
      <c r="G237" s="1269"/>
      <c r="H237" s="1269"/>
      <c r="I237" s="1269"/>
      <c r="J237" s="1444"/>
      <c r="K237" s="1269"/>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66"/>
      <c r="AI237" s="1490"/>
      <c r="AJ237" s="1554"/>
      <c r="AK237" s="1372"/>
      <c r="AL237" s="1556"/>
      <c r="AM237" s="1558"/>
      <c r="AN237" s="1550"/>
      <c r="AO237" s="1530"/>
      <c r="AP237" s="1552"/>
      <c r="AQ237" s="1530"/>
      <c r="AR237" s="1532"/>
      <c r="AS237" s="153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314">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43"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2258</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7" t="s">
        <v>10</v>
      </c>
      <c r="Z238" s="1574">
        <f>'別紙様式2-3（６月以降分）'!Z238</f>
        <v>6</v>
      </c>
      <c r="AA238" s="1377" t="s">
        <v>45</v>
      </c>
      <c r="AB238" s="1574">
        <f>'別紙様式2-3（６月以降分）'!AB238</f>
        <v>7</v>
      </c>
      <c r="AC238" s="1377" t="s">
        <v>10</v>
      </c>
      <c r="AD238" s="1574">
        <f>'別紙様式2-3（６月以降分）'!AD238</f>
        <v>3</v>
      </c>
      <c r="AE238" s="1377" t="s">
        <v>2172</v>
      </c>
      <c r="AF238" s="1377" t="s">
        <v>24</v>
      </c>
      <c r="AG238" s="1377">
        <f>IF(X238&gt;=1,(AB238*12+AD238)-(X238*12+Z238)+1,"")</f>
        <v>10</v>
      </c>
      <c r="AH238" s="1379" t="s">
        <v>38</v>
      </c>
      <c r="AI238" s="1381"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315"/>
      <c r="B239" s="1301"/>
      <c r="C239" s="1302"/>
      <c r="D239" s="1302"/>
      <c r="E239" s="1302"/>
      <c r="F239" s="1303"/>
      <c r="G239" s="1268"/>
      <c r="H239" s="1268"/>
      <c r="I239" s="1268"/>
      <c r="J239" s="1443"/>
      <c r="K239" s="1268"/>
      <c r="L239" s="1454"/>
      <c r="M239" s="1456"/>
      <c r="N239" s="1399" t="str">
        <f>IF('別紙様式2-2（４・５月分）'!Q183="","",'別紙様式2-2（４・５月分）'!Q183)</f>
        <v/>
      </c>
      <c r="O239" s="1420"/>
      <c r="P239" s="1426"/>
      <c r="Q239" s="1427"/>
      <c r="R239" s="1428"/>
      <c r="S239" s="1430"/>
      <c r="T239" s="1432"/>
      <c r="U239" s="1577"/>
      <c r="V239" s="1436"/>
      <c r="W239" s="1438"/>
      <c r="X239" s="1575"/>
      <c r="Y239" s="1378"/>
      <c r="Z239" s="1575"/>
      <c r="AA239" s="1378"/>
      <c r="AB239" s="1575"/>
      <c r="AC239" s="1378"/>
      <c r="AD239" s="1575"/>
      <c r="AE239" s="1378"/>
      <c r="AF239" s="1378"/>
      <c r="AG239" s="1378"/>
      <c r="AH239" s="1380"/>
      <c r="AI239" s="1382"/>
      <c r="AJ239" s="1569"/>
      <c r="AK239" s="1571"/>
      <c r="AL239" s="1573"/>
      <c r="AM239" s="1564"/>
      <c r="AN239" s="1566"/>
      <c r="AO239" s="1394"/>
      <c r="AP239" s="1567"/>
      <c r="AQ239" s="1394"/>
      <c r="AR239" s="1536"/>
      <c r="AS239" s="1539"/>
      <c r="AT239" s="1537" t="str">
        <f t="shared" ref="AT239" si="218">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1"/>
      <c r="C240" s="1302"/>
      <c r="D240" s="1302"/>
      <c r="E240" s="1302"/>
      <c r="F240" s="1303"/>
      <c r="G240" s="1268"/>
      <c r="H240" s="1268"/>
      <c r="I240" s="1268"/>
      <c r="J240" s="1443"/>
      <c r="K240" s="1268"/>
      <c r="L240" s="1454"/>
      <c r="M240" s="1456"/>
      <c r="N240" s="1400"/>
      <c r="O240" s="1421"/>
      <c r="P240" s="1401" t="s">
        <v>2179</v>
      </c>
      <c r="Q240" s="1460" t="str">
        <f>IFERROR(VLOOKUP('別紙様式2-2（４・５月分）'!AR182,【参考】数式用!$AT$5:$AV$22,3,FALSE),"")</f>
        <v/>
      </c>
      <c r="R240" s="1405" t="s">
        <v>2190</v>
      </c>
      <c r="S240" s="1447" t="str">
        <f>IFERROR(VLOOKUP(K238,【参考】数式用!$A$5:$AB$27,MATCH(Q240,【参考】数式用!$B$4:$AB$4,0)+1,0),"")</f>
        <v/>
      </c>
      <c r="T240" s="1409" t="s">
        <v>2267</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2172</v>
      </c>
      <c r="AF240" s="1397" t="s">
        <v>24</v>
      </c>
      <c r="AG240" s="1397" t="str">
        <f>IF(X240&gt;=1,(AB240*12+AD240)-(X240*12+Z240)+1,"")</f>
        <v/>
      </c>
      <c r="AH240" s="1365" t="s">
        <v>38</v>
      </c>
      <c r="AI240" s="1489" t="str">
        <f t="shared" ref="AI240" si="219">IFERROR(ROUNDDOWN(ROUND(L238*V240,0)*M238,0)*AG240,"")</f>
        <v/>
      </c>
      <c r="AJ240" s="1553" t="str">
        <f>IFERROR(ROUNDDOWN(ROUND((L238*(V240-AX238)),0)*M238,0)*AG240,"")</f>
        <v/>
      </c>
      <c r="AK240" s="1371"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IF(AND(AB238&lt;&gt;7,AD238&lt;&gt;3),"V列に色付け","")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316"/>
      <c r="B241" s="1439"/>
      <c r="C241" s="1440"/>
      <c r="D241" s="1440"/>
      <c r="E241" s="1440"/>
      <c r="F241" s="1441"/>
      <c r="G241" s="1269"/>
      <c r="H241" s="1269"/>
      <c r="I241" s="1269"/>
      <c r="J241" s="1444"/>
      <c r="K241" s="1269"/>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66"/>
      <c r="AI241" s="1490"/>
      <c r="AJ241" s="1554"/>
      <c r="AK241" s="1372"/>
      <c r="AL241" s="1556"/>
      <c r="AM241" s="1558"/>
      <c r="AN241" s="1550"/>
      <c r="AO241" s="1530"/>
      <c r="AP241" s="1552"/>
      <c r="AQ241" s="1530"/>
      <c r="AR241" s="1532"/>
      <c r="AS241" s="153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42" t="str">
        <f>IF(基本情報入力シート!X111="","",基本情報入力シート!X111)</f>
        <v/>
      </c>
      <c r="K242" s="1267"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2258</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7" t="s">
        <v>10</v>
      </c>
      <c r="Z242" s="1574">
        <f>'別紙様式2-3（６月以降分）'!Z242</f>
        <v>6</v>
      </c>
      <c r="AA242" s="1377" t="s">
        <v>45</v>
      </c>
      <c r="AB242" s="1574">
        <f>'別紙様式2-3（６月以降分）'!AB242</f>
        <v>7</v>
      </c>
      <c r="AC242" s="1377" t="s">
        <v>10</v>
      </c>
      <c r="AD242" s="1574">
        <f>'別紙様式2-3（６月以降分）'!AD242</f>
        <v>3</v>
      </c>
      <c r="AE242" s="1377" t="s">
        <v>2172</v>
      </c>
      <c r="AF242" s="1377" t="s">
        <v>24</v>
      </c>
      <c r="AG242" s="1377">
        <f>IF(X242&gt;=1,(AB242*12+AD242)-(X242*12+Z242)+1,"")</f>
        <v>10</v>
      </c>
      <c r="AH242" s="1379" t="s">
        <v>38</v>
      </c>
      <c r="AI242" s="1381"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315"/>
      <c r="B243" s="1301"/>
      <c r="C243" s="1302"/>
      <c r="D243" s="1302"/>
      <c r="E243" s="1302"/>
      <c r="F243" s="1303"/>
      <c r="G243" s="1268"/>
      <c r="H243" s="1268"/>
      <c r="I243" s="1268"/>
      <c r="J243" s="1443"/>
      <c r="K243" s="1268"/>
      <c r="L243" s="1454"/>
      <c r="M243" s="1463"/>
      <c r="N243" s="1399" t="str">
        <f>IF('別紙様式2-2（４・５月分）'!Q186="","",'別紙様式2-2（４・５月分）'!Q186)</f>
        <v/>
      </c>
      <c r="O243" s="1420"/>
      <c r="P243" s="1426"/>
      <c r="Q243" s="1427"/>
      <c r="R243" s="1428"/>
      <c r="S243" s="1430"/>
      <c r="T243" s="1432"/>
      <c r="U243" s="1577"/>
      <c r="V243" s="1436"/>
      <c r="W243" s="1438"/>
      <c r="X243" s="1575"/>
      <c r="Y243" s="1378"/>
      <c r="Z243" s="1575"/>
      <c r="AA243" s="1378"/>
      <c r="AB243" s="1575"/>
      <c r="AC243" s="1378"/>
      <c r="AD243" s="1575"/>
      <c r="AE243" s="1378"/>
      <c r="AF243" s="1378"/>
      <c r="AG243" s="1378"/>
      <c r="AH243" s="1380"/>
      <c r="AI243" s="1382"/>
      <c r="AJ243" s="1569"/>
      <c r="AK243" s="1571"/>
      <c r="AL243" s="1573"/>
      <c r="AM243" s="1564"/>
      <c r="AN243" s="1566"/>
      <c r="AO243" s="1394"/>
      <c r="AP243" s="1567"/>
      <c r="AQ243" s="1394"/>
      <c r="AR243" s="1536"/>
      <c r="AS243" s="1539"/>
      <c r="AT243" s="1537" t="str">
        <f t="shared" ref="AT243" si="222">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1"/>
      <c r="C244" s="1302"/>
      <c r="D244" s="1302"/>
      <c r="E244" s="1302"/>
      <c r="F244" s="1303"/>
      <c r="G244" s="1268"/>
      <c r="H244" s="1268"/>
      <c r="I244" s="1268"/>
      <c r="J244" s="1443"/>
      <c r="K244" s="1268"/>
      <c r="L244" s="1454"/>
      <c r="M244" s="1463"/>
      <c r="N244" s="1400"/>
      <c r="O244" s="1421"/>
      <c r="P244" s="1401" t="s">
        <v>2179</v>
      </c>
      <c r="Q244" s="1460" t="str">
        <f>IFERROR(VLOOKUP('別紙様式2-2（４・５月分）'!AR185,【参考】数式用!$AT$5:$AV$22,3,FALSE),"")</f>
        <v/>
      </c>
      <c r="R244" s="1405" t="s">
        <v>2190</v>
      </c>
      <c r="S244" s="1407" t="str">
        <f>IFERROR(VLOOKUP(K242,【参考】数式用!$A$5:$AB$27,MATCH(Q244,【参考】数式用!$B$4:$AB$4,0)+1,0),"")</f>
        <v/>
      </c>
      <c r="T244" s="1409" t="s">
        <v>2267</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2172</v>
      </c>
      <c r="AF244" s="1397" t="s">
        <v>24</v>
      </c>
      <c r="AG244" s="1397" t="str">
        <f>IF(X244&gt;=1,(AB244*12+AD244)-(X244*12+Z244)+1,"")</f>
        <v/>
      </c>
      <c r="AH244" s="1365" t="s">
        <v>38</v>
      </c>
      <c r="AI244" s="1489" t="str">
        <f t="shared" ref="AI244" si="223">IFERROR(ROUNDDOWN(ROUND(L242*V244,0)*M242,0)*AG244,"")</f>
        <v/>
      </c>
      <c r="AJ244" s="1553" t="str">
        <f>IFERROR(ROUNDDOWN(ROUND((L242*(V244-AX242)),0)*M242,0)*AG244,"")</f>
        <v/>
      </c>
      <c r="AK244" s="1371"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IF(AND(AB242&lt;&gt;7,AD242&lt;&gt;3),"V列に色付け","")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316"/>
      <c r="B245" s="1439"/>
      <c r="C245" s="1440"/>
      <c r="D245" s="1440"/>
      <c r="E245" s="1440"/>
      <c r="F245" s="1441"/>
      <c r="G245" s="1269"/>
      <c r="H245" s="1269"/>
      <c r="I245" s="1269"/>
      <c r="J245" s="1444"/>
      <c r="K245" s="1269"/>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66"/>
      <c r="AI245" s="1490"/>
      <c r="AJ245" s="1554"/>
      <c r="AK245" s="1372"/>
      <c r="AL245" s="1556"/>
      <c r="AM245" s="1558"/>
      <c r="AN245" s="1550"/>
      <c r="AO245" s="1530"/>
      <c r="AP245" s="1552"/>
      <c r="AQ245" s="1530"/>
      <c r="AR245" s="1532"/>
      <c r="AS245" s="153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314">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43"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2258</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7" t="s">
        <v>10</v>
      </c>
      <c r="Z246" s="1574">
        <f>'別紙様式2-3（６月以降分）'!Z246</f>
        <v>6</v>
      </c>
      <c r="AA246" s="1377" t="s">
        <v>45</v>
      </c>
      <c r="AB246" s="1574">
        <f>'別紙様式2-3（６月以降分）'!AB246</f>
        <v>7</v>
      </c>
      <c r="AC246" s="1377" t="s">
        <v>10</v>
      </c>
      <c r="AD246" s="1574">
        <f>'別紙様式2-3（６月以降分）'!AD246</f>
        <v>3</v>
      </c>
      <c r="AE246" s="1377" t="s">
        <v>2172</v>
      </c>
      <c r="AF246" s="1377" t="s">
        <v>24</v>
      </c>
      <c r="AG246" s="1377">
        <f>IF(X246&gt;=1,(AB246*12+AD246)-(X246*12+Z246)+1,"")</f>
        <v>10</v>
      </c>
      <c r="AH246" s="1379" t="s">
        <v>38</v>
      </c>
      <c r="AI246" s="1381"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315"/>
      <c r="B247" s="1301"/>
      <c r="C247" s="1302"/>
      <c r="D247" s="1302"/>
      <c r="E247" s="1302"/>
      <c r="F247" s="1303"/>
      <c r="G247" s="1268"/>
      <c r="H247" s="1268"/>
      <c r="I247" s="1268"/>
      <c r="J247" s="1443"/>
      <c r="K247" s="1268"/>
      <c r="L247" s="1454"/>
      <c r="M247" s="1456"/>
      <c r="N247" s="1399" t="str">
        <f>IF('別紙様式2-2（４・５月分）'!Q189="","",'別紙様式2-2（４・５月分）'!Q189)</f>
        <v/>
      </c>
      <c r="O247" s="1420"/>
      <c r="P247" s="1426"/>
      <c r="Q247" s="1427"/>
      <c r="R247" s="1428"/>
      <c r="S247" s="1430"/>
      <c r="T247" s="1432"/>
      <c r="U247" s="1577"/>
      <c r="V247" s="1436"/>
      <c r="W247" s="1438"/>
      <c r="X247" s="1575"/>
      <c r="Y247" s="1378"/>
      <c r="Z247" s="1575"/>
      <c r="AA247" s="1378"/>
      <c r="AB247" s="1575"/>
      <c r="AC247" s="1378"/>
      <c r="AD247" s="1575"/>
      <c r="AE247" s="1378"/>
      <c r="AF247" s="1378"/>
      <c r="AG247" s="1378"/>
      <c r="AH247" s="1380"/>
      <c r="AI247" s="1382"/>
      <c r="AJ247" s="1569"/>
      <c r="AK247" s="1571"/>
      <c r="AL247" s="1573"/>
      <c r="AM247" s="1564"/>
      <c r="AN247" s="1566"/>
      <c r="AO247" s="1394"/>
      <c r="AP247" s="1567"/>
      <c r="AQ247" s="1394"/>
      <c r="AR247" s="1536"/>
      <c r="AS247" s="1539"/>
      <c r="AT247" s="1537" t="str">
        <f t="shared" ref="AT247" si="226">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1"/>
      <c r="C248" s="1302"/>
      <c r="D248" s="1302"/>
      <c r="E248" s="1302"/>
      <c r="F248" s="1303"/>
      <c r="G248" s="1268"/>
      <c r="H248" s="1268"/>
      <c r="I248" s="1268"/>
      <c r="J248" s="1443"/>
      <c r="K248" s="1268"/>
      <c r="L248" s="1454"/>
      <c r="M248" s="1456"/>
      <c r="N248" s="1400"/>
      <c r="O248" s="1421"/>
      <c r="P248" s="1401" t="s">
        <v>2179</v>
      </c>
      <c r="Q248" s="1460" t="str">
        <f>IFERROR(VLOOKUP('別紙様式2-2（４・５月分）'!AR188,【参考】数式用!$AT$5:$AV$22,3,FALSE),"")</f>
        <v/>
      </c>
      <c r="R248" s="1405" t="s">
        <v>2190</v>
      </c>
      <c r="S248" s="1447" t="str">
        <f>IFERROR(VLOOKUP(K246,【参考】数式用!$A$5:$AB$27,MATCH(Q248,【参考】数式用!$B$4:$AB$4,0)+1,0),"")</f>
        <v/>
      </c>
      <c r="T248" s="1409" t="s">
        <v>2267</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2172</v>
      </c>
      <c r="AF248" s="1397" t="s">
        <v>24</v>
      </c>
      <c r="AG248" s="1397" t="str">
        <f>IF(X248&gt;=1,(AB248*12+AD248)-(X248*12+Z248)+1,"")</f>
        <v/>
      </c>
      <c r="AH248" s="1365" t="s">
        <v>38</v>
      </c>
      <c r="AI248" s="1489" t="str">
        <f t="shared" ref="AI248" si="227">IFERROR(ROUNDDOWN(ROUND(L246*V248,0)*M246,0)*AG248,"")</f>
        <v/>
      </c>
      <c r="AJ248" s="1553" t="str">
        <f>IFERROR(ROUNDDOWN(ROUND((L246*(V248-AX246)),0)*M246,0)*AG248,"")</f>
        <v/>
      </c>
      <c r="AK248" s="1371"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IF(AND(AB246&lt;&gt;7,AD246&lt;&gt;3),"V列に色付け","")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316"/>
      <c r="B249" s="1439"/>
      <c r="C249" s="1440"/>
      <c r="D249" s="1440"/>
      <c r="E249" s="1440"/>
      <c r="F249" s="1441"/>
      <c r="G249" s="1269"/>
      <c r="H249" s="1269"/>
      <c r="I249" s="1269"/>
      <c r="J249" s="1444"/>
      <c r="K249" s="1269"/>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66"/>
      <c r="AI249" s="1490"/>
      <c r="AJ249" s="1554"/>
      <c r="AK249" s="1372"/>
      <c r="AL249" s="1556"/>
      <c r="AM249" s="1558"/>
      <c r="AN249" s="1550"/>
      <c r="AO249" s="1530"/>
      <c r="AP249" s="1552"/>
      <c r="AQ249" s="1530"/>
      <c r="AR249" s="1532"/>
      <c r="AS249" s="153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42" t="str">
        <f>IF(基本情報入力シート!X113="","",基本情報入力シート!X113)</f>
        <v/>
      </c>
      <c r="K250" s="1267"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2258</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7" t="s">
        <v>10</v>
      </c>
      <c r="Z250" s="1574">
        <f>'別紙様式2-3（６月以降分）'!Z250</f>
        <v>6</v>
      </c>
      <c r="AA250" s="1377" t="s">
        <v>45</v>
      </c>
      <c r="AB250" s="1574">
        <f>'別紙様式2-3（６月以降分）'!AB250</f>
        <v>7</v>
      </c>
      <c r="AC250" s="1377" t="s">
        <v>10</v>
      </c>
      <c r="AD250" s="1574">
        <f>'別紙様式2-3（６月以降分）'!AD250</f>
        <v>3</v>
      </c>
      <c r="AE250" s="1377" t="s">
        <v>2172</v>
      </c>
      <c r="AF250" s="1377" t="s">
        <v>24</v>
      </c>
      <c r="AG250" s="1377">
        <f>IF(X250&gt;=1,(AB250*12+AD250)-(X250*12+Z250)+1,"")</f>
        <v>10</v>
      </c>
      <c r="AH250" s="1379" t="s">
        <v>38</v>
      </c>
      <c r="AI250" s="1381"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315"/>
      <c r="B251" s="1301"/>
      <c r="C251" s="1302"/>
      <c r="D251" s="1302"/>
      <c r="E251" s="1302"/>
      <c r="F251" s="1303"/>
      <c r="G251" s="1268"/>
      <c r="H251" s="1268"/>
      <c r="I251" s="1268"/>
      <c r="J251" s="1443"/>
      <c r="K251" s="1268"/>
      <c r="L251" s="1454"/>
      <c r="M251" s="1463"/>
      <c r="N251" s="1399" t="str">
        <f>IF('別紙様式2-2（４・５月分）'!Q192="","",'別紙様式2-2（４・５月分）'!Q192)</f>
        <v/>
      </c>
      <c r="O251" s="1420"/>
      <c r="P251" s="1426"/>
      <c r="Q251" s="1427"/>
      <c r="R251" s="1428"/>
      <c r="S251" s="1430"/>
      <c r="T251" s="1432"/>
      <c r="U251" s="1577"/>
      <c r="V251" s="1436"/>
      <c r="W251" s="1438"/>
      <c r="X251" s="1575"/>
      <c r="Y251" s="1378"/>
      <c r="Z251" s="1575"/>
      <c r="AA251" s="1378"/>
      <c r="AB251" s="1575"/>
      <c r="AC251" s="1378"/>
      <c r="AD251" s="1575"/>
      <c r="AE251" s="1378"/>
      <c r="AF251" s="1378"/>
      <c r="AG251" s="1378"/>
      <c r="AH251" s="1380"/>
      <c r="AI251" s="1382"/>
      <c r="AJ251" s="1569"/>
      <c r="AK251" s="1571"/>
      <c r="AL251" s="1573"/>
      <c r="AM251" s="1564"/>
      <c r="AN251" s="1566"/>
      <c r="AO251" s="1394"/>
      <c r="AP251" s="1567"/>
      <c r="AQ251" s="1394"/>
      <c r="AR251" s="1536"/>
      <c r="AS251" s="1539"/>
      <c r="AT251" s="1537" t="str">
        <f t="shared" ref="AT251" si="230">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1"/>
      <c r="C252" s="1302"/>
      <c r="D252" s="1302"/>
      <c r="E252" s="1302"/>
      <c r="F252" s="1303"/>
      <c r="G252" s="1268"/>
      <c r="H252" s="1268"/>
      <c r="I252" s="1268"/>
      <c r="J252" s="1443"/>
      <c r="K252" s="1268"/>
      <c r="L252" s="1454"/>
      <c r="M252" s="1463"/>
      <c r="N252" s="1400"/>
      <c r="O252" s="1421"/>
      <c r="P252" s="1401" t="s">
        <v>2179</v>
      </c>
      <c r="Q252" s="1460" t="str">
        <f>IFERROR(VLOOKUP('別紙様式2-2（４・５月分）'!AR191,【参考】数式用!$AT$5:$AV$22,3,FALSE),"")</f>
        <v/>
      </c>
      <c r="R252" s="1405" t="s">
        <v>2190</v>
      </c>
      <c r="S252" s="1407" t="str">
        <f>IFERROR(VLOOKUP(K250,【参考】数式用!$A$5:$AB$27,MATCH(Q252,【参考】数式用!$B$4:$AB$4,0)+1,0),"")</f>
        <v/>
      </c>
      <c r="T252" s="1409" t="s">
        <v>2267</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2172</v>
      </c>
      <c r="AF252" s="1397" t="s">
        <v>24</v>
      </c>
      <c r="AG252" s="1397" t="str">
        <f>IF(X252&gt;=1,(AB252*12+AD252)-(X252*12+Z252)+1,"")</f>
        <v/>
      </c>
      <c r="AH252" s="1365" t="s">
        <v>38</v>
      </c>
      <c r="AI252" s="1489" t="str">
        <f t="shared" ref="AI252" si="231">IFERROR(ROUNDDOWN(ROUND(L250*V252,0)*M250,0)*AG252,"")</f>
        <v/>
      </c>
      <c r="AJ252" s="1553" t="str">
        <f>IFERROR(ROUNDDOWN(ROUND((L250*(V252-AX250)),0)*M250,0)*AG252,"")</f>
        <v/>
      </c>
      <c r="AK252" s="1371"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IF(AND(AB250&lt;&gt;7,AD250&lt;&gt;3),"V列に色付け","")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316"/>
      <c r="B253" s="1439"/>
      <c r="C253" s="1440"/>
      <c r="D253" s="1440"/>
      <c r="E253" s="1440"/>
      <c r="F253" s="1441"/>
      <c r="G253" s="1269"/>
      <c r="H253" s="1269"/>
      <c r="I253" s="1269"/>
      <c r="J253" s="1444"/>
      <c r="K253" s="1269"/>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66"/>
      <c r="AI253" s="1490"/>
      <c r="AJ253" s="1554"/>
      <c r="AK253" s="1372"/>
      <c r="AL253" s="1556"/>
      <c r="AM253" s="1558"/>
      <c r="AN253" s="1550"/>
      <c r="AO253" s="1530"/>
      <c r="AP253" s="1552"/>
      <c r="AQ253" s="1530"/>
      <c r="AR253" s="1532"/>
      <c r="AS253" s="153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314">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43"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2258</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7" t="s">
        <v>10</v>
      </c>
      <c r="Z254" s="1574">
        <f>'別紙様式2-3（６月以降分）'!Z254</f>
        <v>6</v>
      </c>
      <c r="AA254" s="1377" t="s">
        <v>45</v>
      </c>
      <c r="AB254" s="1574">
        <f>'別紙様式2-3（６月以降分）'!AB254</f>
        <v>7</v>
      </c>
      <c r="AC254" s="1377" t="s">
        <v>10</v>
      </c>
      <c r="AD254" s="1574">
        <f>'別紙様式2-3（６月以降分）'!AD254</f>
        <v>3</v>
      </c>
      <c r="AE254" s="1377" t="s">
        <v>2172</v>
      </c>
      <c r="AF254" s="1377" t="s">
        <v>24</v>
      </c>
      <c r="AG254" s="1377">
        <f>IF(X254&gt;=1,(AB254*12+AD254)-(X254*12+Z254)+1,"")</f>
        <v>10</v>
      </c>
      <c r="AH254" s="1379" t="s">
        <v>38</v>
      </c>
      <c r="AI254" s="1381"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315"/>
      <c r="B255" s="1301"/>
      <c r="C255" s="1302"/>
      <c r="D255" s="1302"/>
      <c r="E255" s="1302"/>
      <c r="F255" s="1303"/>
      <c r="G255" s="1268"/>
      <c r="H255" s="1268"/>
      <c r="I255" s="1268"/>
      <c r="J255" s="1443"/>
      <c r="K255" s="1268"/>
      <c r="L255" s="1454"/>
      <c r="M255" s="1456"/>
      <c r="N255" s="1399" t="str">
        <f>IF('別紙様式2-2（４・５月分）'!Q195="","",'別紙様式2-2（４・５月分）'!Q195)</f>
        <v/>
      </c>
      <c r="O255" s="1420"/>
      <c r="P255" s="1426"/>
      <c r="Q255" s="1427"/>
      <c r="R255" s="1428"/>
      <c r="S255" s="1430"/>
      <c r="T255" s="1432"/>
      <c r="U255" s="1577"/>
      <c r="V255" s="1436"/>
      <c r="W255" s="1438"/>
      <c r="X255" s="1575"/>
      <c r="Y255" s="1378"/>
      <c r="Z255" s="1575"/>
      <c r="AA255" s="1378"/>
      <c r="AB255" s="1575"/>
      <c r="AC255" s="1378"/>
      <c r="AD255" s="1575"/>
      <c r="AE255" s="1378"/>
      <c r="AF255" s="1378"/>
      <c r="AG255" s="1378"/>
      <c r="AH255" s="1380"/>
      <c r="AI255" s="1382"/>
      <c r="AJ255" s="1569"/>
      <c r="AK255" s="1571"/>
      <c r="AL255" s="1573"/>
      <c r="AM255" s="1564"/>
      <c r="AN255" s="1566"/>
      <c r="AO255" s="1394"/>
      <c r="AP255" s="1567"/>
      <c r="AQ255" s="1394"/>
      <c r="AR255" s="1536"/>
      <c r="AS255" s="1539"/>
      <c r="AT255" s="1537" t="str">
        <f t="shared" ref="AT255" si="234">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1"/>
      <c r="C256" s="1302"/>
      <c r="D256" s="1302"/>
      <c r="E256" s="1302"/>
      <c r="F256" s="1303"/>
      <c r="G256" s="1268"/>
      <c r="H256" s="1268"/>
      <c r="I256" s="1268"/>
      <c r="J256" s="1443"/>
      <c r="K256" s="1268"/>
      <c r="L256" s="1454"/>
      <c r="M256" s="1456"/>
      <c r="N256" s="1400"/>
      <c r="O256" s="1421"/>
      <c r="P256" s="1401" t="s">
        <v>2179</v>
      </c>
      <c r="Q256" s="1460" t="str">
        <f>IFERROR(VLOOKUP('別紙様式2-2（４・５月分）'!AR194,【参考】数式用!$AT$5:$AV$22,3,FALSE),"")</f>
        <v/>
      </c>
      <c r="R256" s="1405" t="s">
        <v>2190</v>
      </c>
      <c r="S256" s="1447" t="str">
        <f>IFERROR(VLOOKUP(K254,【参考】数式用!$A$5:$AB$27,MATCH(Q256,【参考】数式用!$B$4:$AB$4,0)+1,0),"")</f>
        <v/>
      </c>
      <c r="T256" s="1409" t="s">
        <v>2267</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2172</v>
      </c>
      <c r="AF256" s="1397" t="s">
        <v>24</v>
      </c>
      <c r="AG256" s="1397" t="str">
        <f>IF(X256&gt;=1,(AB256*12+AD256)-(X256*12+Z256)+1,"")</f>
        <v/>
      </c>
      <c r="AH256" s="1365" t="s">
        <v>38</v>
      </c>
      <c r="AI256" s="1489" t="str">
        <f t="shared" ref="AI256" si="235">IFERROR(ROUNDDOWN(ROUND(L254*V256,0)*M254,0)*AG256,"")</f>
        <v/>
      </c>
      <c r="AJ256" s="1553" t="str">
        <f>IFERROR(ROUNDDOWN(ROUND((L254*(V256-AX254)),0)*M254,0)*AG256,"")</f>
        <v/>
      </c>
      <c r="AK256" s="1371"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IF(AND(AB254&lt;&gt;7,AD254&lt;&gt;3),"V列に色付け","")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316"/>
      <c r="B257" s="1439"/>
      <c r="C257" s="1440"/>
      <c r="D257" s="1440"/>
      <c r="E257" s="1440"/>
      <c r="F257" s="1441"/>
      <c r="G257" s="1269"/>
      <c r="H257" s="1269"/>
      <c r="I257" s="1269"/>
      <c r="J257" s="1444"/>
      <c r="K257" s="1269"/>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66"/>
      <c r="AI257" s="1490"/>
      <c r="AJ257" s="1554"/>
      <c r="AK257" s="1372"/>
      <c r="AL257" s="1556"/>
      <c r="AM257" s="1558"/>
      <c r="AN257" s="1550"/>
      <c r="AO257" s="1530"/>
      <c r="AP257" s="1552"/>
      <c r="AQ257" s="1530"/>
      <c r="AR257" s="1532"/>
      <c r="AS257" s="153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42" t="str">
        <f>IF(基本情報入力シート!X115="","",基本情報入力シート!X115)</f>
        <v/>
      </c>
      <c r="K258" s="1267"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2258</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7" t="s">
        <v>10</v>
      </c>
      <c r="Z258" s="1574">
        <f>'別紙様式2-3（６月以降分）'!Z258</f>
        <v>6</v>
      </c>
      <c r="AA258" s="1377" t="s">
        <v>45</v>
      </c>
      <c r="AB258" s="1574">
        <f>'別紙様式2-3（６月以降分）'!AB258</f>
        <v>7</v>
      </c>
      <c r="AC258" s="1377" t="s">
        <v>10</v>
      </c>
      <c r="AD258" s="1574">
        <f>'別紙様式2-3（６月以降分）'!AD258</f>
        <v>3</v>
      </c>
      <c r="AE258" s="1377" t="s">
        <v>2172</v>
      </c>
      <c r="AF258" s="1377" t="s">
        <v>24</v>
      </c>
      <c r="AG258" s="1377">
        <f>IF(X258&gt;=1,(AB258*12+AD258)-(X258*12+Z258)+1,"")</f>
        <v>10</v>
      </c>
      <c r="AH258" s="1379" t="s">
        <v>38</v>
      </c>
      <c r="AI258" s="1381"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315"/>
      <c r="B259" s="1301"/>
      <c r="C259" s="1302"/>
      <c r="D259" s="1302"/>
      <c r="E259" s="1302"/>
      <c r="F259" s="1303"/>
      <c r="G259" s="1268"/>
      <c r="H259" s="1268"/>
      <c r="I259" s="1268"/>
      <c r="J259" s="1443"/>
      <c r="K259" s="1268"/>
      <c r="L259" s="1454"/>
      <c r="M259" s="1463"/>
      <c r="N259" s="1399" t="str">
        <f>IF('別紙様式2-2（４・５月分）'!Q198="","",'別紙様式2-2（４・５月分）'!Q198)</f>
        <v/>
      </c>
      <c r="O259" s="1420"/>
      <c r="P259" s="1426"/>
      <c r="Q259" s="1427"/>
      <c r="R259" s="1428"/>
      <c r="S259" s="1430"/>
      <c r="T259" s="1432"/>
      <c r="U259" s="1577"/>
      <c r="V259" s="1436"/>
      <c r="W259" s="1438"/>
      <c r="X259" s="1575"/>
      <c r="Y259" s="1378"/>
      <c r="Z259" s="1575"/>
      <c r="AA259" s="1378"/>
      <c r="AB259" s="1575"/>
      <c r="AC259" s="1378"/>
      <c r="AD259" s="1575"/>
      <c r="AE259" s="1378"/>
      <c r="AF259" s="1378"/>
      <c r="AG259" s="1378"/>
      <c r="AH259" s="1380"/>
      <c r="AI259" s="1382"/>
      <c r="AJ259" s="1569"/>
      <c r="AK259" s="1571"/>
      <c r="AL259" s="1573"/>
      <c r="AM259" s="1564"/>
      <c r="AN259" s="1566"/>
      <c r="AO259" s="1394"/>
      <c r="AP259" s="1567"/>
      <c r="AQ259" s="1394"/>
      <c r="AR259" s="1536"/>
      <c r="AS259" s="1539"/>
      <c r="AT259" s="1537" t="str">
        <f t="shared" ref="AT259" si="23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1"/>
      <c r="C260" s="1302"/>
      <c r="D260" s="1302"/>
      <c r="E260" s="1302"/>
      <c r="F260" s="1303"/>
      <c r="G260" s="1268"/>
      <c r="H260" s="1268"/>
      <c r="I260" s="1268"/>
      <c r="J260" s="1443"/>
      <c r="K260" s="1268"/>
      <c r="L260" s="1454"/>
      <c r="M260" s="1463"/>
      <c r="N260" s="1400"/>
      <c r="O260" s="1421"/>
      <c r="P260" s="1401" t="s">
        <v>2179</v>
      </c>
      <c r="Q260" s="1460" t="str">
        <f>IFERROR(VLOOKUP('別紙様式2-2（４・５月分）'!AR197,【参考】数式用!$AT$5:$AV$22,3,FALSE),"")</f>
        <v/>
      </c>
      <c r="R260" s="1405" t="s">
        <v>2190</v>
      </c>
      <c r="S260" s="1407" t="str">
        <f>IFERROR(VLOOKUP(K258,【参考】数式用!$A$5:$AB$27,MATCH(Q260,【参考】数式用!$B$4:$AB$4,0)+1,0),"")</f>
        <v/>
      </c>
      <c r="T260" s="1409" t="s">
        <v>2267</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2172</v>
      </c>
      <c r="AF260" s="1397" t="s">
        <v>24</v>
      </c>
      <c r="AG260" s="1397" t="str">
        <f>IF(X260&gt;=1,(AB260*12+AD260)-(X260*12+Z260)+1,"")</f>
        <v/>
      </c>
      <c r="AH260" s="1365" t="s">
        <v>38</v>
      </c>
      <c r="AI260" s="1489" t="str">
        <f t="shared" ref="AI260" si="239">IFERROR(ROUNDDOWN(ROUND(L258*V260,0)*M258,0)*AG260,"")</f>
        <v/>
      </c>
      <c r="AJ260" s="1553" t="str">
        <f>IFERROR(ROUNDDOWN(ROUND((L258*(V260-AX258)),0)*M258,0)*AG260,"")</f>
        <v/>
      </c>
      <c r="AK260" s="1371"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IF(AND(AB258&lt;&gt;7,AD258&lt;&gt;3),"V列に色付け","")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316"/>
      <c r="B261" s="1439"/>
      <c r="C261" s="1440"/>
      <c r="D261" s="1440"/>
      <c r="E261" s="1440"/>
      <c r="F261" s="1441"/>
      <c r="G261" s="1269"/>
      <c r="H261" s="1269"/>
      <c r="I261" s="1269"/>
      <c r="J261" s="1444"/>
      <c r="K261" s="1269"/>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66"/>
      <c r="AI261" s="1490"/>
      <c r="AJ261" s="1554"/>
      <c r="AK261" s="1372"/>
      <c r="AL261" s="1556"/>
      <c r="AM261" s="1558"/>
      <c r="AN261" s="1550"/>
      <c r="AO261" s="1530"/>
      <c r="AP261" s="1552"/>
      <c r="AQ261" s="1530"/>
      <c r="AR261" s="1532"/>
      <c r="AS261" s="153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314">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43"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2258</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7" t="s">
        <v>10</v>
      </c>
      <c r="Z262" s="1574">
        <f>'別紙様式2-3（６月以降分）'!Z262</f>
        <v>6</v>
      </c>
      <c r="AA262" s="1377" t="s">
        <v>45</v>
      </c>
      <c r="AB262" s="1574">
        <f>'別紙様式2-3（６月以降分）'!AB262</f>
        <v>7</v>
      </c>
      <c r="AC262" s="1377" t="s">
        <v>10</v>
      </c>
      <c r="AD262" s="1574">
        <f>'別紙様式2-3（６月以降分）'!AD262</f>
        <v>3</v>
      </c>
      <c r="AE262" s="1377" t="s">
        <v>2172</v>
      </c>
      <c r="AF262" s="1377" t="s">
        <v>24</v>
      </c>
      <c r="AG262" s="1377">
        <f>IF(X262&gt;=1,(AB262*12+AD262)-(X262*12+Z262)+1,"")</f>
        <v>10</v>
      </c>
      <c r="AH262" s="1379" t="s">
        <v>38</v>
      </c>
      <c r="AI262" s="1381"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315"/>
      <c r="B263" s="1301"/>
      <c r="C263" s="1302"/>
      <c r="D263" s="1302"/>
      <c r="E263" s="1302"/>
      <c r="F263" s="1303"/>
      <c r="G263" s="1268"/>
      <c r="H263" s="1268"/>
      <c r="I263" s="1268"/>
      <c r="J263" s="1443"/>
      <c r="K263" s="1268"/>
      <c r="L263" s="1454"/>
      <c r="M263" s="1456"/>
      <c r="N263" s="1399" t="str">
        <f>IF('別紙様式2-2（４・５月分）'!Q201="","",'別紙様式2-2（４・５月分）'!Q201)</f>
        <v/>
      </c>
      <c r="O263" s="1420"/>
      <c r="P263" s="1426"/>
      <c r="Q263" s="1427"/>
      <c r="R263" s="1428"/>
      <c r="S263" s="1430"/>
      <c r="T263" s="1432"/>
      <c r="U263" s="1577"/>
      <c r="V263" s="1436"/>
      <c r="W263" s="1438"/>
      <c r="X263" s="1575"/>
      <c r="Y263" s="1378"/>
      <c r="Z263" s="1575"/>
      <c r="AA263" s="1378"/>
      <c r="AB263" s="1575"/>
      <c r="AC263" s="1378"/>
      <c r="AD263" s="1575"/>
      <c r="AE263" s="1378"/>
      <c r="AF263" s="1378"/>
      <c r="AG263" s="1378"/>
      <c r="AH263" s="1380"/>
      <c r="AI263" s="1382"/>
      <c r="AJ263" s="1569"/>
      <c r="AK263" s="1571"/>
      <c r="AL263" s="1573"/>
      <c r="AM263" s="1564"/>
      <c r="AN263" s="1566"/>
      <c r="AO263" s="1394"/>
      <c r="AP263" s="1567"/>
      <c r="AQ263" s="1394"/>
      <c r="AR263" s="1536"/>
      <c r="AS263" s="1539"/>
      <c r="AT263" s="1537" t="str">
        <f t="shared" ref="AT263" si="242">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1"/>
      <c r="C264" s="1302"/>
      <c r="D264" s="1302"/>
      <c r="E264" s="1302"/>
      <c r="F264" s="1303"/>
      <c r="G264" s="1268"/>
      <c r="H264" s="1268"/>
      <c r="I264" s="1268"/>
      <c r="J264" s="1443"/>
      <c r="K264" s="1268"/>
      <c r="L264" s="1454"/>
      <c r="M264" s="1456"/>
      <c r="N264" s="1400"/>
      <c r="O264" s="1421"/>
      <c r="P264" s="1401" t="s">
        <v>2179</v>
      </c>
      <c r="Q264" s="1460" t="str">
        <f>IFERROR(VLOOKUP('別紙様式2-2（４・５月分）'!AR200,【参考】数式用!$AT$5:$AV$22,3,FALSE),"")</f>
        <v/>
      </c>
      <c r="R264" s="1405" t="s">
        <v>2190</v>
      </c>
      <c r="S264" s="1447" t="str">
        <f>IFERROR(VLOOKUP(K262,【参考】数式用!$A$5:$AB$27,MATCH(Q264,【参考】数式用!$B$4:$AB$4,0)+1,0),"")</f>
        <v/>
      </c>
      <c r="T264" s="1409" t="s">
        <v>2267</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2172</v>
      </c>
      <c r="AF264" s="1397" t="s">
        <v>24</v>
      </c>
      <c r="AG264" s="1397" t="str">
        <f>IF(X264&gt;=1,(AB264*12+AD264)-(X264*12+Z264)+1,"")</f>
        <v/>
      </c>
      <c r="AH264" s="1365" t="s">
        <v>38</v>
      </c>
      <c r="AI264" s="1489" t="str">
        <f t="shared" ref="AI264" si="243">IFERROR(ROUNDDOWN(ROUND(L262*V264,0)*M262,0)*AG264,"")</f>
        <v/>
      </c>
      <c r="AJ264" s="1553" t="str">
        <f>IFERROR(ROUNDDOWN(ROUND((L262*(V264-AX262)),0)*M262,0)*AG264,"")</f>
        <v/>
      </c>
      <c r="AK264" s="1371"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IF(AND(AB262&lt;&gt;7,AD262&lt;&gt;3),"V列に色付け","")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316"/>
      <c r="B265" s="1439"/>
      <c r="C265" s="1440"/>
      <c r="D265" s="1440"/>
      <c r="E265" s="1440"/>
      <c r="F265" s="1441"/>
      <c r="G265" s="1269"/>
      <c r="H265" s="1269"/>
      <c r="I265" s="1269"/>
      <c r="J265" s="1444"/>
      <c r="K265" s="1269"/>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66"/>
      <c r="AI265" s="1490"/>
      <c r="AJ265" s="1554"/>
      <c r="AK265" s="1372"/>
      <c r="AL265" s="1556"/>
      <c r="AM265" s="1558"/>
      <c r="AN265" s="1550"/>
      <c r="AO265" s="1530"/>
      <c r="AP265" s="1552"/>
      <c r="AQ265" s="1530"/>
      <c r="AR265" s="1532"/>
      <c r="AS265" s="153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42" t="str">
        <f>IF(基本情報入力シート!X117="","",基本情報入力シート!X117)</f>
        <v/>
      </c>
      <c r="K266" s="1267"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2258</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7" t="s">
        <v>10</v>
      </c>
      <c r="Z266" s="1574">
        <f>'別紙様式2-3（６月以降分）'!Z266</f>
        <v>6</v>
      </c>
      <c r="AA266" s="1377" t="s">
        <v>45</v>
      </c>
      <c r="AB266" s="1574">
        <f>'別紙様式2-3（６月以降分）'!AB266</f>
        <v>7</v>
      </c>
      <c r="AC266" s="1377" t="s">
        <v>10</v>
      </c>
      <c r="AD266" s="1574">
        <f>'別紙様式2-3（６月以降分）'!AD266</f>
        <v>3</v>
      </c>
      <c r="AE266" s="1377" t="s">
        <v>2172</v>
      </c>
      <c r="AF266" s="1377" t="s">
        <v>24</v>
      </c>
      <c r="AG266" s="1377">
        <f>IF(X266&gt;=1,(AB266*12+AD266)-(X266*12+Z266)+1,"")</f>
        <v>10</v>
      </c>
      <c r="AH266" s="1379" t="s">
        <v>38</v>
      </c>
      <c r="AI266" s="1381"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315"/>
      <c r="B267" s="1301"/>
      <c r="C267" s="1302"/>
      <c r="D267" s="1302"/>
      <c r="E267" s="1302"/>
      <c r="F267" s="1303"/>
      <c r="G267" s="1268"/>
      <c r="H267" s="1268"/>
      <c r="I267" s="1268"/>
      <c r="J267" s="1443"/>
      <c r="K267" s="1268"/>
      <c r="L267" s="1454"/>
      <c r="M267" s="1463"/>
      <c r="N267" s="1399" t="str">
        <f>IF('別紙様式2-2（４・５月分）'!Q204="","",'別紙様式2-2（４・５月分）'!Q204)</f>
        <v/>
      </c>
      <c r="O267" s="1420"/>
      <c r="P267" s="1426"/>
      <c r="Q267" s="1427"/>
      <c r="R267" s="1428"/>
      <c r="S267" s="1430"/>
      <c r="T267" s="1432"/>
      <c r="U267" s="1577"/>
      <c r="V267" s="1436"/>
      <c r="W267" s="1438"/>
      <c r="X267" s="1575"/>
      <c r="Y267" s="1378"/>
      <c r="Z267" s="1575"/>
      <c r="AA267" s="1378"/>
      <c r="AB267" s="1575"/>
      <c r="AC267" s="1378"/>
      <c r="AD267" s="1575"/>
      <c r="AE267" s="1378"/>
      <c r="AF267" s="1378"/>
      <c r="AG267" s="1378"/>
      <c r="AH267" s="1380"/>
      <c r="AI267" s="1382"/>
      <c r="AJ267" s="1569"/>
      <c r="AK267" s="1571"/>
      <c r="AL267" s="1573"/>
      <c r="AM267" s="1564"/>
      <c r="AN267" s="1566"/>
      <c r="AO267" s="1394"/>
      <c r="AP267" s="1567"/>
      <c r="AQ267" s="1394"/>
      <c r="AR267" s="1536"/>
      <c r="AS267" s="1539"/>
      <c r="AT267" s="1537" t="str">
        <f t="shared" ref="AT267" si="246">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1"/>
      <c r="C268" s="1302"/>
      <c r="D268" s="1302"/>
      <c r="E268" s="1302"/>
      <c r="F268" s="1303"/>
      <c r="G268" s="1268"/>
      <c r="H268" s="1268"/>
      <c r="I268" s="1268"/>
      <c r="J268" s="1443"/>
      <c r="K268" s="1268"/>
      <c r="L268" s="1454"/>
      <c r="M268" s="1463"/>
      <c r="N268" s="1400"/>
      <c r="O268" s="1421"/>
      <c r="P268" s="1401" t="s">
        <v>2179</v>
      </c>
      <c r="Q268" s="1460" t="str">
        <f>IFERROR(VLOOKUP('別紙様式2-2（４・５月分）'!AR203,【参考】数式用!$AT$5:$AV$22,3,FALSE),"")</f>
        <v/>
      </c>
      <c r="R268" s="1405" t="s">
        <v>2190</v>
      </c>
      <c r="S268" s="1407" t="str">
        <f>IFERROR(VLOOKUP(K266,【参考】数式用!$A$5:$AB$27,MATCH(Q268,【参考】数式用!$B$4:$AB$4,0)+1,0),"")</f>
        <v/>
      </c>
      <c r="T268" s="1409" t="s">
        <v>2267</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2172</v>
      </c>
      <c r="AF268" s="1397" t="s">
        <v>24</v>
      </c>
      <c r="AG268" s="1397" t="str">
        <f>IF(X268&gt;=1,(AB268*12+AD268)-(X268*12+Z268)+1,"")</f>
        <v/>
      </c>
      <c r="AH268" s="1365" t="s">
        <v>38</v>
      </c>
      <c r="AI268" s="1489" t="str">
        <f t="shared" ref="AI268" si="247">IFERROR(ROUNDDOWN(ROUND(L266*V268,0)*M266,0)*AG268,"")</f>
        <v/>
      </c>
      <c r="AJ268" s="1553" t="str">
        <f>IFERROR(ROUNDDOWN(ROUND((L266*(V268-AX266)),0)*M266,0)*AG268,"")</f>
        <v/>
      </c>
      <c r="AK268" s="1371"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IF(AND(AB266&lt;&gt;7,AD266&lt;&gt;3),"V列に色付け","")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316"/>
      <c r="B269" s="1439"/>
      <c r="C269" s="1440"/>
      <c r="D269" s="1440"/>
      <c r="E269" s="1440"/>
      <c r="F269" s="1441"/>
      <c r="G269" s="1269"/>
      <c r="H269" s="1269"/>
      <c r="I269" s="1269"/>
      <c r="J269" s="1444"/>
      <c r="K269" s="1269"/>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66"/>
      <c r="AI269" s="1490"/>
      <c r="AJ269" s="1554"/>
      <c r="AK269" s="1372"/>
      <c r="AL269" s="1556"/>
      <c r="AM269" s="1558"/>
      <c r="AN269" s="1550"/>
      <c r="AO269" s="1530"/>
      <c r="AP269" s="1552"/>
      <c r="AQ269" s="1530"/>
      <c r="AR269" s="1532"/>
      <c r="AS269" s="153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314">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43"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2258</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7" t="s">
        <v>10</v>
      </c>
      <c r="Z270" s="1574">
        <f>'別紙様式2-3（６月以降分）'!Z270</f>
        <v>6</v>
      </c>
      <c r="AA270" s="1377" t="s">
        <v>45</v>
      </c>
      <c r="AB270" s="1574">
        <f>'別紙様式2-3（６月以降分）'!AB270</f>
        <v>7</v>
      </c>
      <c r="AC270" s="1377" t="s">
        <v>10</v>
      </c>
      <c r="AD270" s="1574">
        <f>'別紙様式2-3（６月以降分）'!AD270</f>
        <v>3</v>
      </c>
      <c r="AE270" s="1377" t="s">
        <v>2172</v>
      </c>
      <c r="AF270" s="1377" t="s">
        <v>24</v>
      </c>
      <c r="AG270" s="1377">
        <f>IF(X270&gt;=1,(AB270*12+AD270)-(X270*12+Z270)+1,"")</f>
        <v>10</v>
      </c>
      <c r="AH270" s="1379" t="s">
        <v>38</v>
      </c>
      <c r="AI270" s="1381"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315"/>
      <c r="B271" s="1301"/>
      <c r="C271" s="1302"/>
      <c r="D271" s="1302"/>
      <c r="E271" s="1302"/>
      <c r="F271" s="1303"/>
      <c r="G271" s="1268"/>
      <c r="H271" s="1268"/>
      <c r="I271" s="1268"/>
      <c r="J271" s="1443"/>
      <c r="K271" s="1268"/>
      <c r="L271" s="1454"/>
      <c r="M271" s="1456"/>
      <c r="N271" s="1399" t="str">
        <f>IF('別紙様式2-2（４・５月分）'!Q207="","",'別紙様式2-2（４・５月分）'!Q207)</f>
        <v/>
      </c>
      <c r="O271" s="1420"/>
      <c r="P271" s="1426"/>
      <c r="Q271" s="1427"/>
      <c r="R271" s="1428"/>
      <c r="S271" s="1430"/>
      <c r="T271" s="1432"/>
      <c r="U271" s="1577"/>
      <c r="V271" s="1436"/>
      <c r="W271" s="1438"/>
      <c r="X271" s="1575"/>
      <c r="Y271" s="1378"/>
      <c r="Z271" s="1575"/>
      <c r="AA271" s="1378"/>
      <c r="AB271" s="1575"/>
      <c r="AC271" s="1378"/>
      <c r="AD271" s="1575"/>
      <c r="AE271" s="1378"/>
      <c r="AF271" s="1378"/>
      <c r="AG271" s="1378"/>
      <c r="AH271" s="1380"/>
      <c r="AI271" s="1382"/>
      <c r="AJ271" s="1569"/>
      <c r="AK271" s="1571"/>
      <c r="AL271" s="1573"/>
      <c r="AM271" s="1564"/>
      <c r="AN271" s="1566"/>
      <c r="AO271" s="1394"/>
      <c r="AP271" s="1567"/>
      <c r="AQ271" s="1394"/>
      <c r="AR271" s="1536"/>
      <c r="AS271" s="1539"/>
      <c r="AT271" s="1537" t="str">
        <f t="shared" ref="AT271" si="250">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1"/>
      <c r="C272" s="1302"/>
      <c r="D272" s="1302"/>
      <c r="E272" s="1302"/>
      <c r="F272" s="1303"/>
      <c r="G272" s="1268"/>
      <c r="H272" s="1268"/>
      <c r="I272" s="1268"/>
      <c r="J272" s="1443"/>
      <c r="K272" s="1268"/>
      <c r="L272" s="1454"/>
      <c r="M272" s="1456"/>
      <c r="N272" s="1400"/>
      <c r="O272" s="1421"/>
      <c r="P272" s="1401" t="s">
        <v>2179</v>
      </c>
      <c r="Q272" s="1460" t="str">
        <f>IFERROR(VLOOKUP('別紙様式2-2（４・５月分）'!AR206,【参考】数式用!$AT$5:$AV$22,3,FALSE),"")</f>
        <v/>
      </c>
      <c r="R272" s="1405" t="s">
        <v>2190</v>
      </c>
      <c r="S272" s="1447" t="str">
        <f>IFERROR(VLOOKUP(K270,【参考】数式用!$A$5:$AB$27,MATCH(Q272,【参考】数式用!$B$4:$AB$4,0)+1,0),"")</f>
        <v/>
      </c>
      <c r="T272" s="1409" t="s">
        <v>2267</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2172</v>
      </c>
      <c r="AF272" s="1397" t="s">
        <v>24</v>
      </c>
      <c r="AG272" s="1397" t="str">
        <f>IF(X272&gt;=1,(AB272*12+AD272)-(X272*12+Z272)+1,"")</f>
        <v/>
      </c>
      <c r="AH272" s="1365" t="s">
        <v>38</v>
      </c>
      <c r="AI272" s="1489" t="str">
        <f t="shared" ref="AI272" si="251">IFERROR(ROUNDDOWN(ROUND(L270*V272,0)*M270,0)*AG272,"")</f>
        <v/>
      </c>
      <c r="AJ272" s="1553" t="str">
        <f>IFERROR(ROUNDDOWN(ROUND((L270*(V272-AX270)),0)*M270,0)*AG272,"")</f>
        <v/>
      </c>
      <c r="AK272" s="1371"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IF(AND(AB270&lt;&gt;7,AD270&lt;&gt;3),"V列に色付け","")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316"/>
      <c r="B273" s="1439"/>
      <c r="C273" s="1440"/>
      <c r="D273" s="1440"/>
      <c r="E273" s="1440"/>
      <c r="F273" s="1441"/>
      <c r="G273" s="1269"/>
      <c r="H273" s="1269"/>
      <c r="I273" s="1269"/>
      <c r="J273" s="1444"/>
      <c r="K273" s="1269"/>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66"/>
      <c r="AI273" s="1490"/>
      <c r="AJ273" s="1554"/>
      <c r="AK273" s="1372"/>
      <c r="AL273" s="1556"/>
      <c r="AM273" s="1558"/>
      <c r="AN273" s="1550"/>
      <c r="AO273" s="1530"/>
      <c r="AP273" s="1552"/>
      <c r="AQ273" s="1530"/>
      <c r="AR273" s="1532"/>
      <c r="AS273" s="153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42" t="str">
        <f>IF(基本情報入力シート!X119="","",基本情報入力シート!X119)</f>
        <v/>
      </c>
      <c r="K274" s="1267"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2258</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7" t="s">
        <v>10</v>
      </c>
      <c r="Z274" s="1574">
        <f>'別紙様式2-3（６月以降分）'!Z274</f>
        <v>6</v>
      </c>
      <c r="AA274" s="1377" t="s">
        <v>45</v>
      </c>
      <c r="AB274" s="1574">
        <f>'別紙様式2-3（６月以降分）'!AB274</f>
        <v>7</v>
      </c>
      <c r="AC274" s="1377" t="s">
        <v>10</v>
      </c>
      <c r="AD274" s="1574">
        <f>'別紙様式2-3（６月以降分）'!AD274</f>
        <v>3</v>
      </c>
      <c r="AE274" s="1377" t="s">
        <v>2172</v>
      </c>
      <c r="AF274" s="1377" t="s">
        <v>24</v>
      </c>
      <c r="AG274" s="1377">
        <f>IF(X274&gt;=1,(AB274*12+AD274)-(X274*12+Z274)+1,"")</f>
        <v>10</v>
      </c>
      <c r="AH274" s="1379" t="s">
        <v>38</v>
      </c>
      <c r="AI274" s="1381"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315"/>
      <c r="B275" s="1301"/>
      <c r="C275" s="1302"/>
      <c r="D275" s="1302"/>
      <c r="E275" s="1302"/>
      <c r="F275" s="1303"/>
      <c r="G275" s="1268"/>
      <c r="H275" s="1268"/>
      <c r="I275" s="1268"/>
      <c r="J275" s="1443"/>
      <c r="K275" s="1268"/>
      <c r="L275" s="1454"/>
      <c r="M275" s="1463"/>
      <c r="N275" s="1399" t="str">
        <f>IF('別紙様式2-2（４・５月分）'!Q210="","",'別紙様式2-2（４・５月分）'!Q210)</f>
        <v/>
      </c>
      <c r="O275" s="1420"/>
      <c r="P275" s="1426"/>
      <c r="Q275" s="1427"/>
      <c r="R275" s="1428"/>
      <c r="S275" s="1430"/>
      <c r="T275" s="1432"/>
      <c r="U275" s="1577"/>
      <c r="V275" s="1436"/>
      <c r="W275" s="1438"/>
      <c r="X275" s="1575"/>
      <c r="Y275" s="1378"/>
      <c r="Z275" s="1575"/>
      <c r="AA275" s="1378"/>
      <c r="AB275" s="1575"/>
      <c r="AC275" s="1378"/>
      <c r="AD275" s="1575"/>
      <c r="AE275" s="1378"/>
      <c r="AF275" s="1378"/>
      <c r="AG275" s="1378"/>
      <c r="AH275" s="1380"/>
      <c r="AI275" s="1382"/>
      <c r="AJ275" s="1569"/>
      <c r="AK275" s="1571"/>
      <c r="AL275" s="1573"/>
      <c r="AM275" s="1564"/>
      <c r="AN275" s="1566"/>
      <c r="AO275" s="1394"/>
      <c r="AP275" s="1567"/>
      <c r="AQ275" s="1394"/>
      <c r="AR275" s="1536"/>
      <c r="AS275" s="1539"/>
      <c r="AT275" s="1537" t="str">
        <f t="shared" ref="AT275" si="254">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1"/>
      <c r="C276" s="1302"/>
      <c r="D276" s="1302"/>
      <c r="E276" s="1302"/>
      <c r="F276" s="1303"/>
      <c r="G276" s="1268"/>
      <c r="H276" s="1268"/>
      <c r="I276" s="1268"/>
      <c r="J276" s="1443"/>
      <c r="K276" s="1268"/>
      <c r="L276" s="1454"/>
      <c r="M276" s="1463"/>
      <c r="N276" s="1400"/>
      <c r="O276" s="1421"/>
      <c r="P276" s="1401" t="s">
        <v>2179</v>
      </c>
      <c r="Q276" s="1460" t="str">
        <f>IFERROR(VLOOKUP('別紙様式2-2（４・５月分）'!AR209,【参考】数式用!$AT$5:$AV$22,3,FALSE),"")</f>
        <v/>
      </c>
      <c r="R276" s="1405" t="s">
        <v>2190</v>
      </c>
      <c r="S276" s="1407" t="str">
        <f>IFERROR(VLOOKUP(K274,【参考】数式用!$A$5:$AB$27,MATCH(Q276,【参考】数式用!$B$4:$AB$4,0)+1,0),"")</f>
        <v/>
      </c>
      <c r="T276" s="1409" t="s">
        <v>2267</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2172</v>
      </c>
      <c r="AF276" s="1397" t="s">
        <v>24</v>
      </c>
      <c r="AG276" s="1397" t="str">
        <f>IF(X276&gt;=1,(AB276*12+AD276)-(X276*12+Z276)+1,"")</f>
        <v/>
      </c>
      <c r="AH276" s="1365" t="s">
        <v>38</v>
      </c>
      <c r="AI276" s="1489" t="str">
        <f t="shared" ref="AI276" si="255">IFERROR(ROUNDDOWN(ROUND(L274*V276,0)*M274,0)*AG276,"")</f>
        <v/>
      </c>
      <c r="AJ276" s="1553" t="str">
        <f>IFERROR(ROUNDDOWN(ROUND((L274*(V276-AX274)),0)*M274,0)*AG276,"")</f>
        <v/>
      </c>
      <c r="AK276" s="1371"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IF(AND(AB274&lt;&gt;7,AD274&lt;&gt;3),"V列に色付け","")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316"/>
      <c r="B277" s="1439"/>
      <c r="C277" s="1440"/>
      <c r="D277" s="1440"/>
      <c r="E277" s="1440"/>
      <c r="F277" s="1441"/>
      <c r="G277" s="1269"/>
      <c r="H277" s="1269"/>
      <c r="I277" s="1269"/>
      <c r="J277" s="1444"/>
      <c r="K277" s="1269"/>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66"/>
      <c r="AI277" s="1490"/>
      <c r="AJ277" s="1554"/>
      <c r="AK277" s="1372"/>
      <c r="AL277" s="1556"/>
      <c r="AM277" s="1558"/>
      <c r="AN277" s="1550"/>
      <c r="AO277" s="1530"/>
      <c r="AP277" s="1552"/>
      <c r="AQ277" s="1530"/>
      <c r="AR277" s="1532"/>
      <c r="AS277" s="153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314">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43"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2258</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7" t="s">
        <v>10</v>
      </c>
      <c r="Z278" s="1574">
        <f>'別紙様式2-3（６月以降分）'!Z278</f>
        <v>6</v>
      </c>
      <c r="AA278" s="1377" t="s">
        <v>45</v>
      </c>
      <c r="AB278" s="1574">
        <f>'別紙様式2-3（６月以降分）'!AB278</f>
        <v>7</v>
      </c>
      <c r="AC278" s="1377" t="s">
        <v>10</v>
      </c>
      <c r="AD278" s="1574">
        <f>'別紙様式2-3（６月以降分）'!AD278</f>
        <v>3</v>
      </c>
      <c r="AE278" s="1377" t="s">
        <v>2172</v>
      </c>
      <c r="AF278" s="1377" t="s">
        <v>24</v>
      </c>
      <c r="AG278" s="1377">
        <f>IF(X278&gt;=1,(AB278*12+AD278)-(X278*12+Z278)+1,"")</f>
        <v>10</v>
      </c>
      <c r="AH278" s="1379" t="s">
        <v>38</v>
      </c>
      <c r="AI278" s="1381"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315"/>
      <c r="B279" s="1301"/>
      <c r="C279" s="1302"/>
      <c r="D279" s="1302"/>
      <c r="E279" s="1302"/>
      <c r="F279" s="1303"/>
      <c r="G279" s="1268"/>
      <c r="H279" s="1268"/>
      <c r="I279" s="1268"/>
      <c r="J279" s="1443"/>
      <c r="K279" s="1268"/>
      <c r="L279" s="1454"/>
      <c r="M279" s="1456"/>
      <c r="N279" s="1399" t="str">
        <f>IF('別紙様式2-2（４・５月分）'!Q213="","",'別紙様式2-2（４・５月分）'!Q213)</f>
        <v/>
      </c>
      <c r="O279" s="1420"/>
      <c r="P279" s="1426"/>
      <c r="Q279" s="1427"/>
      <c r="R279" s="1428"/>
      <c r="S279" s="1430"/>
      <c r="T279" s="1432"/>
      <c r="U279" s="1577"/>
      <c r="V279" s="1436"/>
      <c r="W279" s="1438"/>
      <c r="X279" s="1575"/>
      <c r="Y279" s="1378"/>
      <c r="Z279" s="1575"/>
      <c r="AA279" s="1378"/>
      <c r="AB279" s="1575"/>
      <c r="AC279" s="1378"/>
      <c r="AD279" s="1575"/>
      <c r="AE279" s="1378"/>
      <c r="AF279" s="1378"/>
      <c r="AG279" s="1378"/>
      <c r="AH279" s="1380"/>
      <c r="AI279" s="1382"/>
      <c r="AJ279" s="1569"/>
      <c r="AK279" s="1571"/>
      <c r="AL279" s="1573"/>
      <c r="AM279" s="1564"/>
      <c r="AN279" s="1566"/>
      <c r="AO279" s="1394"/>
      <c r="AP279" s="1567"/>
      <c r="AQ279" s="1394"/>
      <c r="AR279" s="1536"/>
      <c r="AS279" s="1539"/>
      <c r="AT279" s="1537" t="str">
        <f t="shared" ref="AT279" si="258">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1"/>
      <c r="C280" s="1302"/>
      <c r="D280" s="1302"/>
      <c r="E280" s="1302"/>
      <c r="F280" s="1303"/>
      <c r="G280" s="1268"/>
      <c r="H280" s="1268"/>
      <c r="I280" s="1268"/>
      <c r="J280" s="1443"/>
      <c r="K280" s="1268"/>
      <c r="L280" s="1454"/>
      <c r="M280" s="1456"/>
      <c r="N280" s="1400"/>
      <c r="O280" s="1421"/>
      <c r="P280" s="1401" t="s">
        <v>2179</v>
      </c>
      <c r="Q280" s="1460" t="str">
        <f>IFERROR(VLOOKUP('別紙様式2-2（４・５月分）'!AR212,【参考】数式用!$AT$5:$AV$22,3,FALSE),"")</f>
        <v/>
      </c>
      <c r="R280" s="1405" t="s">
        <v>2190</v>
      </c>
      <c r="S280" s="1447" t="str">
        <f>IFERROR(VLOOKUP(K278,【参考】数式用!$A$5:$AB$27,MATCH(Q280,【参考】数式用!$B$4:$AB$4,0)+1,0),"")</f>
        <v/>
      </c>
      <c r="T280" s="1409" t="s">
        <v>2267</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2172</v>
      </c>
      <c r="AF280" s="1397" t="s">
        <v>24</v>
      </c>
      <c r="AG280" s="1397" t="str">
        <f>IF(X280&gt;=1,(AB280*12+AD280)-(X280*12+Z280)+1,"")</f>
        <v/>
      </c>
      <c r="AH280" s="1365" t="s">
        <v>38</v>
      </c>
      <c r="AI280" s="1489" t="str">
        <f t="shared" ref="AI280" si="259">IFERROR(ROUNDDOWN(ROUND(L278*V280,0)*M278,0)*AG280,"")</f>
        <v/>
      </c>
      <c r="AJ280" s="1553" t="str">
        <f>IFERROR(ROUNDDOWN(ROUND((L278*(V280-AX278)),0)*M278,0)*AG280,"")</f>
        <v/>
      </c>
      <c r="AK280" s="1371"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IF(AND(AB278&lt;&gt;7,AD278&lt;&gt;3),"V列に色付け","")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316"/>
      <c r="B281" s="1439"/>
      <c r="C281" s="1440"/>
      <c r="D281" s="1440"/>
      <c r="E281" s="1440"/>
      <c r="F281" s="1441"/>
      <c r="G281" s="1269"/>
      <c r="H281" s="1269"/>
      <c r="I281" s="1269"/>
      <c r="J281" s="1444"/>
      <c r="K281" s="1269"/>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66"/>
      <c r="AI281" s="1490"/>
      <c r="AJ281" s="1554"/>
      <c r="AK281" s="1372"/>
      <c r="AL281" s="1556"/>
      <c r="AM281" s="1558"/>
      <c r="AN281" s="1550"/>
      <c r="AO281" s="1530"/>
      <c r="AP281" s="1552"/>
      <c r="AQ281" s="1530"/>
      <c r="AR281" s="1532"/>
      <c r="AS281" s="153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42" t="str">
        <f>IF(基本情報入力シート!X121="","",基本情報入力シート!X121)</f>
        <v/>
      </c>
      <c r="K282" s="1267"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2258</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7" t="s">
        <v>10</v>
      </c>
      <c r="Z282" s="1574">
        <f>'別紙様式2-3（６月以降分）'!Z282</f>
        <v>6</v>
      </c>
      <c r="AA282" s="1377" t="s">
        <v>45</v>
      </c>
      <c r="AB282" s="1574">
        <f>'別紙様式2-3（６月以降分）'!AB282</f>
        <v>7</v>
      </c>
      <c r="AC282" s="1377" t="s">
        <v>10</v>
      </c>
      <c r="AD282" s="1574">
        <f>'別紙様式2-3（６月以降分）'!AD282</f>
        <v>3</v>
      </c>
      <c r="AE282" s="1377" t="s">
        <v>2172</v>
      </c>
      <c r="AF282" s="1377" t="s">
        <v>24</v>
      </c>
      <c r="AG282" s="1377">
        <f>IF(X282&gt;=1,(AB282*12+AD282)-(X282*12+Z282)+1,"")</f>
        <v>10</v>
      </c>
      <c r="AH282" s="1379" t="s">
        <v>38</v>
      </c>
      <c r="AI282" s="1381"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315"/>
      <c r="B283" s="1301"/>
      <c r="C283" s="1302"/>
      <c r="D283" s="1302"/>
      <c r="E283" s="1302"/>
      <c r="F283" s="1303"/>
      <c r="G283" s="1268"/>
      <c r="H283" s="1268"/>
      <c r="I283" s="1268"/>
      <c r="J283" s="1443"/>
      <c r="K283" s="1268"/>
      <c r="L283" s="1454"/>
      <c r="M283" s="1463"/>
      <c r="N283" s="1399" t="str">
        <f>IF('別紙様式2-2（４・５月分）'!Q216="","",'別紙様式2-2（４・５月分）'!Q216)</f>
        <v/>
      </c>
      <c r="O283" s="1420"/>
      <c r="P283" s="1426"/>
      <c r="Q283" s="1427"/>
      <c r="R283" s="1428"/>
      <c r="S283" s="1430"/>
      <c r="T283" s="1432"/>
      <c r="U283" s="1577"/>
      <c r="V283" s="1436"/>
      <c r="W283" s="1438"/>
      <c r="X283" s="1575"/>
      <c r="Y283" s="1378"/>
      <c r="Z283" s="1575"/>
      <c r="AA283" s="1378"/>
      <c r="AB283" s="1575"/>
      <c r="AC283" s="1378"/>
      <c r="AD283" s="1575"/>
      <c r="AE283" s="1378"/>
      <c r="AF283" s="1378"/>
      <c r="AG283" s="1378"/>
      <c r="AH283" s="1380"/>
      <c r="AI283" s="1382"/>
      <c r="AJ283" s="1569"/>
      <c r="AK283" s="1571"/>
      <c r="AL283" s="1573"/>
      <c r="AM283" s="1564"/>
      <c r="AN283" s="1566"/>
      <c r="AO283" s="1394"/>
      <c r="AP283" s="1567"/>
      <c r="AQ283" s="1394"/>
      <c r="AR283" s="1536"/>
      <c r="AS283" s="1539"/>
      <c r="AT283" s="1537" t="str">
        <f t="shared" ref="AT283" si="262">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1"/>
      <c r="C284" s="1302"/>
      <c r="D284" s="1302"/>
      <c r="E284" s="1302"/>
      <c r="F284" s="1303"/>
      <c r="G284" s="1268"/>
      <c r="H284" s="1268"/>
      <c r="I284" s="1268"/>
      <c r="J284" s="1443"/>
      <c r="K284" s="1268"/>
      <c r="L284" s="1454"/>
      <c r="M284" s="1463"/>
      <c r="N284" s="1400"/>
      <c r="O284" s="1421"/>
      <c r="P284" s="1401" t="s">
        <v>2179</v>
      </c>
      <c r="Q284" s="1460" t="str">
        <f>IFERROR(VLOOKUP('別紙様式2-2（４・５月分）'!AR215,【参考】数式用!$AT$5:$AV$22,3,FALSE),"")</f>
        <v/>
      </c>
      <c r="R284" s="1405" t="s">
        <v>2190</v>
      </c>
      <c r="S284" s="1407" t="str">
        <f>IFERROR(VLOOKUP(K282,【参考】数式用!$A$5:$AB$27,MATCH(Q284,【参考】数式用!$B$4:$AB$4,0)+1,0),"")</f>
        <v/>
      </c>
      <c r="T284" s="1409" t="s">
        <v>2267</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2172</v>
      </c>
      <c r="AF284" s="1397" t="s">
        <v>24</v>
      </c>
      <c r="AG284" s="1397" t="str">
        <f>IF(X284&gt;=1,(AB284*12+AD284)-(X284*12+Z284)+1,"")</f>
        <v/>
      </c>
      <c r="AH284" s="1365" t="s">
        <v>38</v>
      </c>
      <c r="AI284" s="1489" t="str">
        <f t="shared" ref="AI284" si="263">IFERROR(ROUNDDOWN(ROUND(L282*V284,0)*M282,0)*AG284,"")</f>
        <v/>
      </c>
      <c r="AJ284" s="1553" t="str">
        <f>IFERROR(ROUNDDOWN(ROUND((L282*(V284-AX282)),0)*M282,0)*AG284,"")</f>
        <v/>
      </c>
      <c r="AK284" s="1371"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IF(AND(AB282&lt;&gt;7,AD282&lt;&gt;3),"V列に色付け","")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316"/>
      <c r="B285" s="1439"/>
      <c r="C285" s="1440"/>
      <c r="D285" s="1440"/>
      <c r="E285" s="1440"/>
      <c r="F285" s="1441"/>
      <c r="G285" s="1269"/>
      <c r="H285" s="1269"/>
      <c r="I285" s="1269"/>
      <c r="J285" s="1444"/>
      <c r="K285" s="1269"/>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66"/>
      <c r="AI285" s="1490"/>
      <c r="AJ285" s="1554"/>
      <c r="AK285" s="1372"/>
      <c r="AL285" s="1556"/>
      <c r="AM285" s="1558"/>
      <c r="AN285" s="1550"/>
      <c r="AO285" s="1530"/>
      <c r="AP285" s="1552"/>
      <c r="AQ285" s="1530"/>
      <c r="AR285" s="1532"/>
      <c r="AS285" s="153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314">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43"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2258</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7" t="s">
        <v>10</v>
      </c>
      <c r="Z286" s="1574">
        <f>'別紙様式2-3（６月以降分）'!Z286</f>
        <v>6</v>
      </c>
      <c r="AA286" s="1377" t="s">
        <v>45</v>
      </c>
      <c r="AB286" s="1574">
        <f>'別紙様式2-3（６月以降分）'!AB286</f>
        <v>7</v>
      </c>
      <c r="AC286" s="1377" t="s">
        <v>10</v>
      </c>
      <c r="AD286" s="1574">
        <f>'別紙様式2-3（６月以降分）'!AD286</f>
        <v>3</v>
      </c>
      <c r="AE286" s="1377" t="s">
        <v>2172</v>
      </c>
      <c r="AF286" s="1377" t="s">
        <v>24</v>
      </c>
      <c r="AG286" s="1377">
        <f>IF(X286&gt;=1,(AB286*12+AD286)-(X286*12+Z286)+1,"")</f>
        <v>10</v>
      </c>
      <c r="AH286" s="1379" t="s">
        <v>38</v>
      </c>
      <c r="AI286" s="1381"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315"/>
      <c r="B287" s="1301"/>
      <c r="C287" s="1302"/>
      <c r="D287" s="1302"/>
      <c r="E287" s="1302"/>
      <c r="F287" s="1303"/>
      <c r="G287" s="1268"/>
      <c r="H287" s="1268"/>
      <c r="I287" s="1268"/>
      <c r="J287" s="1443"/>
      <c r="K287" s="1268"/>
      <c r="L287" s="1454"/>
      <c r="M287" s="1456"/>
      <c r="N287" s="1399" t="str">
        <f>IF('別紙様式2-2（４・５月分）'!Q219="","",'別紙様式2-2（４・５月分）'!Q219)</f>
        <v/>
      </c>
      <c r="O287" s="1420"/>
      <c r="P287" s="1426"/>
      <c r="Q287" s="1427"/>
      <c r="R287" s="1428"/>
      <c r="S287" s="1430"/>
      <c r="T287" s="1432"/>
      <c r="U287" s="1577"/>
      <c r="V287" s="1436"/>
      <c r="W287" s="1438"/>
      <c r="X287" s="1575"/>
      <c r="Y287" s="1378"/>
      <c r="Z287" s="1575"/>
      <c r="AA287" s="1378"/>
      <c r="AB287" s="1575"/>
      <c r="AC287" s="1378"/>
      <c r="AD287" s="1575"/>
      <c r="AE287" s="1378"/>
      <c r="AF287" s="1378"/>
      <c r="AG287" s="1378"/>
      <c r="AH287" s="1380"/>
      <c r="AI287" s="1382"/>
      <c r="AJ287" s="1569"/>
      <c r="AK287" s="1571"/>
      <c r="AL287" s="1573"/>
      <c r="AM287" s="1564"/>
      <c r="AN287" s="1566"/>
      <c r="AO287" s="1394"/>
      <c r="AP287" s="1567"/>
      <c r="AQ287" s="1394"/>
      <c r="AR287" s="1536"/>
      <c r="AS287" s="1539"/>
      <c r="AT287" s="1537" t="str">
        <f t="shared" ref="AT287" si="266">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1"/>
      <c r="C288" s="1302"/>
      <c r="D288" s="1302"/>
      <c r="E288" s="1302"/>
      <c r="F288" s="1303"/>
      <c r="G288" s="1268"/>
      <c r="H288" s="1268"/>
      <c r="I288" s="1268"/>
      <c r="J288" s="1443"/>
      <c r="K288" s="1268"/>
      <c r="L288" s="1454"/>
      <c r="M288" s="1456"/>
      <c r="N288" s="1400"/>
      <c r="O288" s="1421"/>
      <c r="P288" s="1401" t="s">
        <v>2179</v>
      </c>
      <c r="Q288" s="1460" t="str">
        <f>IFERROR(VLOOKUP('別紙様式2-2（４・５月分）'!AR218,【参考】数式用!$AT$5:$AV$22,3,FALSE),"")</f>
        <v/>
      </c>
      <c r="R288" s="1405" t="s">
        <v>2190</v>
      </c>
      <c r="S288" s="1447" t="str">
        <f>IFERROR(VLOOKUP(K286,【参考】数式用!$A$5:$AB$27,MATCH(Q288,【参考】数式用!$B$4:$AB$4,0)+1,0),"")</f>
        <v/>
      </c>
      <c r="T288" s="1409" t="s">
        <v>2267</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2172</v>
      </c>
      <c r="AF288" s="1397" t="s">
        <v>24</v>
      </c>
      <c r="AG288" s="1397" t="str">
        <f>IF(X288&gt;=1,(AB288*12+AD288)-(X288*12+Z288)+1,"")</f>
        <v/>
      </c>
      <c r="AH288" s="1365" t="s">
        <v>38</v>
      </c>
      <c r="AI288" s="1489" t="str">
        <f t="shared" ref="AI288" si="267">IFERROR(ROUNDDOWN(ROUND(L286*V288,0)*M286,0)*AG288,"")</f>
        <v/>
      </c>
      <c r="AJ288" s="1553" t="str">
        <f>IFERROR(ROUNDDOWN(ROUND((L286*(V288-AX286)),0)*M286,0)*AG288,"")</f>
        <v/>
      </c>
      <c r="AK288" s="1371"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IF(AND(AB286&lt;&gt;7,AD286&lt;&gt;3),"V列に色付け","")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316"/>
      <c r="B289" s="1439"/>
      <c r="C289" s="1440"/>
      <c r="D289" s="1440"/>
      <c r="E289" s="1440"/>
      <c r="F289" s="1441"/>
      <c r="G289" s="1269"/>
      <c r="H289" s="1269"/>
      <c r="I289" s="1269"/>
      <c r="J289" s="1444"/>
      <c r="K289" s="1269"/>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66"/>
      <c r="AI289" s="1490"/>
      <c r="AJ289" s="1554"/>
      <c r="AK289" s="1372"/>
      <c r="AL289" s="1556"/>
      <c r="AM289" s="1558"/>
      <c r="AN289" s="1550"/>
      <c r="AO289" s="1530"/>
      <c r="AP289" s="1552"/>
      <c r="AQ289" s="1530"/>
      <c r="AR289" s="1532"/>
      <c r="AS289" s="153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42" t="str">
        <f>IF(基本情報入力シート!X123="","",基本情報入力シート!X123)</f>
        <v/>
      </c>
      <c r="K290" s="1267"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2258</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7" t="s">
        <v>10</v>
      </c>
      <c r="Z290" s="1574">
        <f>'別紙様式2-3（６月以降分）'!Z290</f>
        <v>6</v>
      </c>
      <c r="AA290" s="1377" t="s">
        <v>45</v>
      </c>
      <c r="AB290" s="1574">
        <f>'別紙様式2-3（６月以降分）'!AB290</f>
        <v>7</v>
      </c>
      <c r="AC290" s="1377" t="s">
        <v>10</v>
      </c>
      <c r="AD290" s="1574">
        <f>'別紙様式2-3（６月以降分）'!AD290</f>
        <v>3</v>
      </c>
      <c r="AE290" s="1377" t="s">
        <v>2172</v>
      </c>
      <c r="AF290" s="1377" t="s">
        <v>24</v>
      </c>
      <c r="AG290" s="1377">
        <f>IF(X290&gt;=1,(AB290*12+AD290)-(X290*12+Z290)+1,"")</f>
        <v>10</v>
      </c>
      <c r="AH290" s="1379" t="s">
        <v>38</v>
      </c>
      <c r="AI290" s="1381"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315"/>
      <c r="B291" s="1301"/>
      <c r="C291" s="1302"/>
      <c r="D291" s="1302"/>
      <c r="E291" s="1302"/>
      <c r="F291" s="1303"/>
      <c r="G291" s="1268"/>
      <c r="H291" s="1268"/>
      <c r="I291" s="1268"/>
      <c r="J291" s="1443"/>
      <c r="K291" s="1268"/>
      <c r="L291" s="1454"/>
      <c r="M291" s="1463"/>
      <c r="N291" s="1399" t="str">
        <f>IF('別紙様式2-2（４・５月分）'!Q222="","",'別紙様式2-2（４・５月分）'!Q222)</f>
        <v/>
      </c>
      <c r="O291" s="1420"/>
      <c r="P291" s="1426"/>
      <c r="Q291" s="1427"/>
      <c r="R291" s="1428"/>
      <c r="S291" s="1430"/>
      <c r="T291" s="1432"/>
      <c r="U291" s="1577"/>
      <c r="V291" s="1436"/>
      <c r="W291" s="1438"/>
      <c r="X291" s="1575"/>
      <c r="Y291" s="1378"/>
      <c r="Z291" s="1575"/>
      <c r="AA291" s="1378"/>
      <c r="AB291" s="1575"/>
      <c r="AC291" s="1378"/>
      <c r="AD291" s="1575"/>
      <c r="AE291" s="1378"/>
      <c r="AF291" s="1378"/>
      <c r="AG291" s="1378"/>
      <c r="AH291" s="1380"/>
      <c r="AI291" s="1382"/>
      <c r="AJ291" s="1569"/>
      <c r="AK291" s="1571"/>
      <c r="AL291" s="1573"/>
      <c r="AM291" s="1564"/>
      <c r="AN291" s="1566"/>
      <c r="AO291" s="1394"/>
      <c r="AP291" s="1567"/>
      <c r="AQ291" s="1394"/>
      <c r="AR291" s="1536"/>
      <c r="AS291" s="1539"/>
      <c r="AT291" s="1537" t="str">
        <f t="shared" ref="AT291" si="270">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1"/>
      <c r="C292" s="1302"/>
      <c r="D292" s="1302"/>
      <c r="E292" s="1302"/>
      <c r="F292" s="1303"/>
      <c r="G292" s="1268"/>
      <c r="H292" s="1268"/>
      <c r="I292" s="1268"/>
      <c r="J292" s="1443"/>
      <c r="K292" s="1268"/>
      <c r="L292" s="1454"/>
      <c r="M292" s="1463"/>
      <c r="N292" s="1400"/>
      <c r="O292" s="1421"/>
      <c r="P292" s="1401" t="s">
        <v>2179</v>
      </c>
      <c r="Q292" s="1460" t="str">
        <f>IFERROR(VLOOKUP('別紙様式2-2（４・５月分）'!AR221,【参考】数式用!$AT$5:$AV$22,3,FALSE),"")</f>
        <v/>
      </c>
      <c r="R292" s="1405" t="s">
        <v>2190</v>
      </c>
      <c r="S292" s="1407" t="str">
        <f>IFERROR(VLOOKUP(K290,【参考】数式用!$A$5:$AB$27,MATCH(Q292,【参考】数式用!$B$4:$AB$4,0)+1,0),"")</f>
        <v/>
      </c>
      <c r="T292" s="1409" t="s">
        <v>2267</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2172</v>
      </c>
      <c r="AF292" s="1397" t="s">
        <v>24</v>
      </c>
      <c r="AG292" s="1397" t="str">
        <f>IF(X292&gt;=1,(AB292*12+AD292)-(X292*12+Z292)+1,"")</f>
        <v/>
      </c>
      <c r="AH292" s="1365" t="s">
        <v>38</v>
      </c>
      <c r="AI292" s="1489" t="str">
        <f t="shared" ref="AI292" si="271">IFERROR(ROUNDDOWN(ROUND(L290*V292,0)*M290,0)*AG292,"")</f>
        <v/>
      </c>
      <c r="AJ292" s="1553" t="str">
        <f>IFERROR(ROUNDDOWN(ROUND((L290*(V292-AX290)),0)*M290,0)*AG292,"")</f>
        <v/>
      </c>
      <c r="AK292" s="1371"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IF(AND(AB290&lt;&gt;7,AD290&lt;&gt;3),"V列に色付け","")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316"/>
      <c r="B293" s="1439"/>
      <c r="C293" s="1440"/>
      <c r="D293" s="1440"/>
      <c r="E293" s="1440"/>
      <c r="F293" s="1441"/>
      <c r="G293" s="1269"/>
      <c r="H293" s="1269"/>
      <c r="I293" s="1269"/>
      <c r="J293" s="1444"/>
      <c r="K293" s="1269"/>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66"/>
      <c r="AI293" s="1490"/>
      <c r="AJ293" s="1554"/>
      <c r="AK293" s="1372"/>
      <c r="AL293" s="1556"/>
      <c r="AM293" s="1558"/>
      <c r="AN293" s="1550"/>
      <c r="AO293" s="1530"/>
      <c r="AP293" s="1552"/>
      <c r="AQ293" s="1530"/>
      <c r="AR293" s="1532"/>
      <c r="AS293" s="153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314">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43"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2258</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7" t="s">
        <v>10</v>
      </c>
      <c r="Z294" s="1574">
        <f>'別紙様式2-3（６月以降分）'!Z294</f>
        <v>6</v>
      </c>
      <c r="AA294" s="1377" t="s">
        <v>45</v>
      </c>
      <c r="AB294" s="1574">
        <f>'別紙様式2-3（６月以降分）'!AB294</f>
        <v>7</v>
      </c>
      <c r="AC294" s="1377" t="s">
        <v>10</v>
      </c>
      <c r="AD294" s="1574">
        <f>'別紙様式2-3（６月以降分）'!AD294</f>
        <v>3</v>
      </c>
      <c r="AE294" s="1377" t="s">
        <v>2172</v>
      </c>
      <c r="AF294" s="1377" t="s">
        <v>24</v>
      </c>
      <c r="AG294" s="1377">
        <f>IF(X294&gt;=1,(AB294*12+AD294)-(X294*12+Z294)+1,"")</f>
        <v>10</v>
      </c>
      <c r="AH294" s="1379" t="s">
        <v>38</v>
      </c>
      <c r="AI294" s="1381"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315"/>
      <c r="B295" s="1301"/>
      <c r="C295" s="1302"/>
      <c r="D295" s="1302"/>
      <c r="E295" s="1302"/>
      <c r="F295" s="1303"/>
      <c r="G295" s="1268"/>
      <c r="H295" s="1268"/>
      <c r="I295" s="1268"/>
      <c r="J295" s="1443"/>
      <c r="K295" s="1268"/>
      <c r="L295" s="1454"/>
      <c r="M295" s="1456"/>
      <c r="N295" s="1399" t="str">
        <f>IF('別紙様式2-2（４・５月分）'!Q225="","",'別紙様式2-2（４・５月分）'!Q225)</f>
        <v/>
      </c>
      <c r="O295" s="1420"/>
      <c r="P295" s="1426"/>
      <c r="Q295" s="1427"/>
      <c r="R295" s="1428"/>
      <c r="S295" s="1430"/>
      <c r="T295" s="1432"/>
      <c r="U295" s="1577"/>
      <c r="V295" s="1436"/>
      <c r="W295" s="1438"/>
      <c r="X295" s="1575"/>
      <c r="Y295" s="1378"/>
      <c r="Z295" s="1575"/>
      <c r="AA295" s="1378"/>
      <c r="AB295" s="1575"/>
      <c r="AC295" s="1378"/>
      <c r="AD295" s="1575"/>
      <c r="AE295" s="1378"/>
      <c r="AF295" s="1378"/>
      <c r="AG295" s="1378"/>
      <c r="AH295" s="1380"/>
      <c r="AI295" s="1382"/>
      <c r="AJ295" s="1569"/>
      <c r="AK295" s="1571"/>
      <c r="AL295" s="1573"/>
      <c r="AM295" s="1564"/>
      <c r="AN295" s="1566"/>
      <c r="AO295" s="1394"/>
      <c r="AP295" s="1567"/>
      <c r="AQ295" s="1394"/>
      <c r="AR295" s="1536"/>
      <c r="AS295" s="1539"/>
      <c r="AT295" s="1537" t="str">
        <f t="shared" ref="AT295" si="274">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1"/>
      <c r="C296" s="1302"/>
      <c r="D296" s="1302"/>
      <c r="E296" s="1302"/>
      <c r="F296" s="1303"/>
      <c r="G296" s="1268"/>
      <c r="H296" s="1268"/>
      <c r="I296" s="1268"/>
      <c r="J296" s="1443"/>
      <c r="K296" s="1268"/>
      <c r="L296" s="1454"/>
      <c r="M296" s="1456"/>
      <c r="N296" s="1400"/>
      <c r="O296" s="1421"/>
      <c r="P296" s="1401" t="s">
        <v>2179</v>
      </c>
      <c r="Q296" s="1460" t="str">
        <f>IFERROR(VLOOKUP('別紙様式2-2（４・５月分）'!AR224,【参考】数式用!$AT$5:$AV$22,3,FALSE),"")</f>
        <v/>
      </c>
      <c r="R296" s="1405" t="s">
        <v>2190</v>
      </c>
      <c r="S296" s="1447" t="str">
        <f>IFERROR(VLOOKUP(K294,【参考】数式用!$A$5:$AB$27,MATCH(Q296,【参考】数式用!$B$4:$AB$4,0)+1,0),"")</f>
        <v/>
      </c>
      <c r="T296" s="1409" t="s">
        <v>2267</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2172</v>
      </c>
      <c r="AF296" s="1397" t="s">
        <v>24</v>
      </c>
      <c r="AG296" s="1397" t="str">
        <f>IF(X296&gt;=1,(AB296*12+AD296)-(X296*12+Z296)+1,"")</f>
        <v/>
      </c>
      <c r="AH296" s="1365" t="s">
        <v>38</v>
      </c>
      <c r="AI296" s="1489" t="str">
        <f t="shared" ref="AI296" si="275">IFERROR(ROUNDDOWN(ROUND(L294*V296,0)*M294,0)*AG296,"")</f>
        <v/>
      </c>
      <c r="AJ296" s="1553" t="str">
        <f>IFERROR(ROUNDDOWN(ROUND((L294*(V296-AX294)),0)*M294,0)*AG296,"")</f>
        <v/>
      </c>
      <c r="AK296" s="1371"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IF(AND(AB294&lt;&gt;7,AD294&lt;&gt;3),"V列に色付け","")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316"/>
      <c r="B297" s="1439"/>
      <c r="C297" s="1440"/>
      <c r="D297" s="1440"/>
      <c r="E297" s="1440"/>
      <c r="F297" s="1441"/>
      <c r="G297" s="1269"/>
      <c r="H297" s="1269"/>
      <c r="I297" s="1269"/>
      <c r="J297" s="1444"/>
      <c r="K297" s="1269"/>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66"/>
      <c r="AI297" s="1490"/>
      <c r="AJ297" s="1554"/>
      <c r="AK297" s="1372"/>
      <c r="AL297" s="1556"/>
      <c r="AM297" s="1558"/>
      <c r="AN297" s="1550"/>
      <c r="AO297" s="1530"/>
      <c r="AP297" s="1552"/>
      <c r="AQ297" s="1530"/>
      <c r="AR297" s="1532"/>
      <c r="AS297" s="153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42" t="str">
        <f>IF(基本情報入力シート!X125="","",基本情報入力シート!X125)</f>
        <v/>
      </c>
      <c r="K298" s="1267"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2258</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7" t="s">
        <v>10</v>
      </c>
      <c r="Z298" s="1574">
        <f>'別紙様式2-3（６月以降分）'!Z298</f>
        <v>6</v>
      </c>
      <c r="AA298" s="1377" t="s">
        <v>45</v>
      </c>
      <c r="AB298" s="1574">
        <f>'別紙様式2-3（６月以降分）'!AB298</f>
        <v>7</v>
      </c>
      <c r="AC298" s="1377" t="s">
        <v>10</v>
      </c>
      <c r="AD298" s="1574">
        <f>'別紙様式2-3（６月以降分）'!AD298</f>
        <v>3</v>
      </c>
      <c r="AE298" s="1377" t="s">
        <v>2172</v>
      </c>
      <c r="AF298" s="1377" t="s">
        <v>24</v>
      </c>
      <c r="AG298" s="1377">
        <f>IF(X298&gt;=1,(AB298*12+AD298)-(X298*12+Z298)+1,"")</f>
        <v>10</v>
      </c>
      <c r="AH298" s="1379" t="s">
        <v>38</v>
      </c>
      <c r="AI298" s="1381"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315"/>
      <c r="B299" s="1301"/>
      <c r="C299" s="1302"/>
      <c r="D299" s="1302"/>
      <c r="E299" s="1302"/>
      <c r="F299" s="1303"/>
      <c r="G299" s="1268"/>
      <c r="H299" s="1268"/>
      <c r="I299" s="1268"/>
      <c r="J299" s="1443"/>
      <c r="K299" s="1268"/>
      <c r="L299" s="1454"/>
      <c r="M299" s="1463"/>
      <c r="N299" s="1399" t="str">
        <f>IF('別紙様式2-2（４・５月分）'!Q228="","",'別紙様式2-2（４・５月分）'!Q228)</f>
        <v/>
      </c>
      <c r="O299" s="1420"/>
      <c r="P299" s="1426"/>
      <c r="Q299" s="1427"/>
      <c r="R299" s="1428"/>
      <c r="S299" s="1430"/>
      <c r="T299" s="1432"/>
      <c r="U299" s="1577"/>
      <c r="V299" s="1436"/>
      <c r="W299" s="1438"/>
      <c r="X299" s="1575"/>
      <c r="Y299" s="1378"/>
      <c r="Z299" s="1575"/>
      <c r="AA299" s="1378"/>
      <c r="AB299" s="1575"/>
      <c r="AC299" s="1378"/>
      <c r="AD299" s="1575"/>
      <c r="AE299" s="1378"/>
      <c r="AF299" s="1378"/>
      <c r="AG299" s="1378"/>
      <c r="AH299" s="1380"/>
      <c r="AI299" s="1382"/>
      <c r="AJ299" s="1569"/>
      <c r="AK299" s="1571"/>
      <c r="AL299" s="1573"/>
      <c r="AM299" s="1564"/>
      <c r="AN299" s="1566"/>
      <c r="AO299" s="1394"/>
      <c r="AP299" s="1567"/>
      <c r="AQ299" s="1394"/>
      <c r="AR299" s="1536"/>
      <c r="AS299" s="1539"/>
      <c r="AT299" s="1537" t="str">
        <f t="shared" ref="AT299" si="27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1"/>
      <c r="C300" s="1302"/>
      <c r="D300" s="1302"/>
      <c r="E300" s="1302"/>
      <c r="F300" s="1303"/>
      <c r="G300" s="1268"/>
      <c r="H300" s="1268"/>
      <c r="I300" s="1268"/>
      <c r="J300" s="1443"/>
      <c r="K300" s="1268"/>
      <c r="L300" s="1454"/>
      <c r="M300" s="1463"/>
      <c r="N300" s="1400"/>
      <c r="O300" s="1421"/>
      <c r="P300" s="1401" t="s">
        <v>2179</v>
      </c>
      <c r="Q300" s="1460" t="str">
        <f>IFERROR(VLOOKUP('別紙様式2-2（４・５月分）'!AR227,【参考】数式用!$AT$5:$AV$22,3,FALSE),"")</f>
        <v/>
      </c>
      <c r="R300" s="1405" t="s">
        <v>2190</v>
      </c>
      <c r="S300" s="1407" t="str">
        <f>IFERROR(VLOOKUP(K298,【参考】数式用!$A$5:$AB$27,MATCH(Q300,【参考】数式用!$B$4:$AB$4,0)+1,0),"")</f>
        <v/>
      </c>
      <c r="T300" s="1409" t="s">
        <v>2267</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2172</v>
      </c>
      <c r="AF300" s="1397" t="s">
        <v>24</v>
      </c>
      <c r="AG300" s="1397" t="str">
        <f>IF(X300&gt;=1,(AB300*12+AD300)-(X300*12+Z300)+1,"")</f>
        <v/>
      </c>
      <c r="AH300" s="1365" t="s">
        <v>38</v>
      </c>
      <c r="AI300" s="1489" t="str">
        <f t="shared" ref="AI300" si="279">IFERROR(ROUNDDOWN(ROUND(L298*V300,0)*M298,0)*AG300,"")</f>
        <v/>
      </c>
      <c r="AJ300" s="1553" t="str">
        <f>IFERROR(ROUNDDOWN(ROUND((L298*(V300-AX298)),0)*M298,0)*AG300,"")</f>
        <v/>
      </c>
      <c r="AK300" s="1371"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IF(AND(AB298&lt;&gt;7,AD298&lt;&gt;3),"V列に色付け","")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316"/>
      <c r="B301" s="1439"/>
      <c r="C301" s="1440"/>
      <c r="D301" s="1440"/>
      <c r="E301" s="1440"/>
      <c r="F301" s="1441"/>
      <c r="G301" s="1269"/>
      <c r="H301" s="1269"/>
      <c r="I301" s="1269"/>
      <c r="J301" s="1444"/>
      <c r="K301" s="1269"/>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66"/>
      <c r="AI301" s="1490"/>
      <c r="AJ301" s="1554"/>
      <c r="AK301" s="1372"/>
      <c r="AL301" s="1556"/>
      <c r="AM301" s="1558"/>
      <c r="AN301" s="1550"/>
      <c r="AO301" s="1530"/>
      <c r="AP301" s="1552"/>
      <c r="AQ301" s="1530"/>
      <c r="AR301" s="1532"/>
      <c r="AS301" s="153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314">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43"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2258</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7" t="s">
        <v>10</v>
      </c>
      <c r="Z302" s="1574">
        <f>'別紙様式2-3（６月以降分）'!Z302</f>
        <v>6</v>
      </c>
      <c r="AA302" s="1377" t="s">
        <v>45</v>
      </c>
      <c r="AB302" s="1574">
        <f>'別紙様式2-3（６月以降分）'!AB302</f>
        <v>7</v>
      </c>
      <c r="AC302" s="1377" t="s">
        <v>10</v>
      </c>
      <c r="AD302" s="1574">
        <f>'別紙様式2-3（６月以降分）'!AD302</f>
        <v>3</v>
      </c>
      <c r="AE302" s="1377" t="s">
        <v>2172</v>
      </c>
      <c r="AF302" s="1377" t="s">
        <v>24</v>
      </c>
      <c r="AG302" s="1377">
        <f>IF(X302&gt;=1,(AB302*12+AD302)-(X302*12+Z302)+1,"")</f>
        <v>10</v>
      </c>
      <c r="AH302" s="1379" t="s">
        <v>38</v>
      </c>
      <c r="AI302" s="1381"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315"/>
      <c r="B303" s="1301"/>
      <c r="C303" s="1302"/>
      <c r="D303" s="1302"/>
      <c r="E303" s="1302"/>
      <c r="F303" s="1303"/>
      <c r="G303" s="1268"/>
      <c r="H303" s="1268"/>
      <c r="I303" s="1268"/>
      <c r="J303" s="1443"/>
      <c r="K303" s="1268"/>
      <c r="L303" s="1454"/>
      <c r="M303" s="1456"/>
      <c r="N303" s="1399" t="str">
        <f>IF('別紙様式2-2（４・５月分）'!Q231="","",'別紙様式2-2（４・５月分）'!Q231)</f>
        <v/>
      </c>
      <c r="O303" s="1420"/>
      <c r="P303" s="1426"/>
      <c r="Q303" s="1427"/>
      <c r="R303" s="1428"/>
      <c r="S303" s="1430"/>
      <c r="T303" s="1432"/>
      <c r="U303" s="1577"/>
      <c r="V303" s="1436"/>
      <c r="W303" s="1438"/>
      <c r="X303" s="1575"/>
      <c r="Y303" s="1378"/>
      <c r="Z303" s="1575"/>
      <c r="AA303" s="1378"/>
      <c r="AB303" s="1575"/>
      <c r="AC303" s="1378"/>
      <c r="AD303" s="1575"/>
      <c r="AE303" s="1378"/>
      <c r="AF303" s="1378"/>
      <c r="AG303" s="1378"/>
      <c r="AH303" s="1380"/>
      <c r="AI303" s="1382"/>
      <c r="AJ303" s="1569"/>
      <c r="AK303" s="1571"/>
      <c r="AL303" s="1573"/>
      <c r="AM303" s="1564"/>
      <c r="AN303" s="1566"/>
      <c r="AO303" s="1394"/>
      <c r="AP303" s="1567"/>
      <c r="AQ303" s="1394"/>
      <c r="AR303" s="1536"/>
      <c r="AS303" s="1539"/>
      <c r="AT303" s="1537" t="str">
        <f t="shared" ref="AT303" si="282">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1"/>
      <c r="C304" s="1302"/>
      <c r="D304" s="1302"/>
      <c r="E304" s="1302"/>
      <c r="F304" s="1303"/>
      <c r="G304" s="1268"/>
      <c r="H304" s="1268"/>
      <c r="I304" s="1268"/>
      <c r="J304" s="1443"/>
      <c r="K304" s="1268"/>
      <c r="L304" s="1454"/>
      <c r="M304" s="1456"/>
      <c r="N304" s="1400"/>
      <c r="O304" s="1421"/>
      <c r="P304" s="1401" t="s">
        <v>2179</v>
      </c>
      <c r="Q304" s="1460" t="str">
        <f>IFERROR(VLOOKUP('別紙様式2-2（４・５月分）'!AR230,【参考】数式用!$AT$5:$AV$22,3,FALSE),"")</f>
        <v/>
      </c>
      <c r="R304" s="1405" t="s">
        <v>2190</v>
      </c>
      <c r="S304" s="1447" t="str">
        <f>IFERROR(VLOOKUP(K302,【参考】数式用!$A$5:$AB$27,MATCH(Q304,【参考】数式用!$B$4:$AB$4,0)+1,0),"")</f>
        <v/>
      </c>
      <c r="T304" s="1409" t="s">
        <v>2267</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2172</v>
      </c>
      <c r="AF304" s="1397" t="s">
        <v>24</v>
      </c>
      <c r="AG304" s="1397" t="str">
        <f>IF(X304&gt;=1,(AB304*12+AD304)-(X304*12+Z304)+1,"")</f>
        <v/>
      </c>
      <c r="AH304" s="1365" t="s">
        <v>38</v>
      </c>
      <c r="AI304" s="1489" t="str">
        <f t="shared" ref="AI304" si="283">IFERROR(ROUNDDOWN(ROUND(L302*V304,0)*M302,0)*AG304,"")</f>
        <v/>
      </c>
      <c r="AJ304" s="1553" t="str">
        <f>IFERROR(ROUNDDOWN(ROUND((L302*(V304-AX302)),0)*M302,0)*AG304,"")</f>
        <v/>
      </c>
      <c r="AK304" s="1371"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IF(AND(AB302&lt;&gt;7,AD302&lt;&gt;3),"V列に色付け","")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316"/>
      <c r="B305" s="1439"/>
      <c r="C305" s="1440"/>
      <c r="D305" s="1440"/>
      <c r="E305" s="1440"/>
      <c r="F305" s="1441"/>
      <c r="G305" s="1269"/>
      <c r="H305" s="1269"/>
      <c r="I305" s="1269"/>
      <c r="J305" s="1444"/>
      <c r="K305" s="1269"/>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66"/>
      <c r="AI305" s="1490"/>
      <c r="AJ305" s="1554"/>
      <c r="AK305" s="1372"/>
      <c r="AL305" s="1556"/>
      <c r="AM305" s="1558"/>
      <c r="AN305" s="1550"/>
      <c r="AO305" s="1530"/>
      <c r="AP305" s="1552"/>
      <c r="AQ305" s="1530"/>
      <c r="AR305" s="1532"/>
      <c r="AS305" s="153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43"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2258</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7" t="s">
        <v>10</v>
      </c>
      <c r="Z306" s="1574">
        <f>'別紙様式2-3（６月以降分）'!Z306</f>
        <v>6</v>
      </c>
      <c r="AA306" s="1377" t="s">
        <v>45</v>
      </c>
      <c r="AB306" s="1574">
        <f>'別紙様式2-3（６月以降分）'!AB306</f>
        <v>7</v>
      </c>
      <c r="AC306" s="1377" t="s">
        <v>10</v>
      </c>
      <c r="AD306" s="1574">
        <f>'別紙様式2-3（６月以降分）'!AD306</f>
        <v>3</v>
      </c>
      <c r="AE306" s="1377" t="s">
        <v>2172</v>
      </c>
      <c r="AF306" s="1377" t="s">
        <v>24</v>
      </c>
      <c r="AG306" s="1377">
        <f>IF(X306&gt;=1,(AB306*12+AD306)-(X306*12+Z306)+1,"")</f>
        <v>10</v>
      </c>
      <c r="AH306" s="1379" t="s">
        <v>38</v>
      </c>
      <c r="AI306" s="1381"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315"/>
      <c r="B307" s="1301"/>
      <c r="C307" s="1302"/>
      <c r="D307" s="1302"/>
      <c r="E307" s="1302"/>
      <c r="F307" s="1303"/>
      <c r="G307" s="1268"/>
      <c r="H307" s="1268"/>
      <c r="I307" s="1268"/>
      <c r="J307" s="1443"/>
      <c r="K307" s="1268"/>
      <c r="L307" s="1454"/>
      <c r="M307" s="1456"/>
      <c r="N307" s="1399" t="str">
        <f>IF('別紙様式2-2（４・５月分）'!Q234="","",'別紙様式2-2（４・５月分）'!Q234)</f>
        <v/>
      </c>
      <c r="O307" s="1420"/>
      <c r="P307" s="1426"/>
      <c r="Q307" s="1427"/>
      <c r="R307" s="1428"/>
      <c r="S307" s="1430"/>
      <c r="T307" s="1432"/>
      <c r="U307" s="1577"/>
      <c r="V307" s="1436"/>
      <c r="W307" s="1438"/>
      <c r="X307" s="1575"/>
      <c r="Y307" s="1378"/>
      <c r="Z307" s="1575"/>
      <c r="AA307" s="1378"/>
      <c r="AB307" s="1575"/>
      <c r="AC307" s="1378"/>
      <c r="AD307" s="1575"/>
      <c r="AE307" s="1378"/>
      <c r="AF307" s="1378"/>
      <c r="AG307" s="1378"/>
      <c r="AH307" s="1380"/>
      <c r="AI307" s="1382"/>
      <c r="AJ307" s="1569"/>
      <c r="AK307" s="1571"/>
      <c r="AL307" s="1573"/>
      <c r="AM307" s="1564"/>
      <c r="AN307" s="1566"/>
      <c r="AO307" s="1394"/>
      <c r="AP307" s="1567"/>
      <c r="AQ307" s="1394"/>
      <c r="AR307" s="1536"/>
      <c r="AS307" s="1539"/>
      <c r="AT307" s="1537" t="str">
        <f t="shared" ref="AT307" si="286">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1"/>
      <c r="C308" s="1302"/>
      <c r="D308" s="1302"/>
      <c r="E308" s="1302"/>
      <c r="F308" s="1303"/>
      <c r="G308" s="1268"/>
      <c r="H308" s="1268"/>
      <c r="I308" s="1268"/>
      <c r="J308" s="1443"/>
      <c r="K308" s="1268"/>
      <c r="L308" s="1454"/>
      <c r="M308" s="1456"/>
      <c r="N308" s="1400"/>
      <c r="O308" s="1421"/>
      <c r="P308" s="1401" t="s">
        <v>2179</v>
      </c>
      <c r="Q308" s="1460" t="str">
        <f>IFERROR(VLOOKUP('別紙様式2-2（４・５月分）'!AR233,【参考】数式用!$AT$5:$AV$22,3,FALSE),"")</f>
        <v/>
      </c>
      <c r="R308" s="1405" t="s">
        <v>2190</v>
      </c>
      <c r="S308" s="1447" t="str">
        <f>IFERROR(VLOOKUP(K306,【参考】数式用!$A$5:$AB$27,MATCH(Q308,【参考】数式用!$B$4:$AB$4,0)+1,0),"")</f>
        <v/>
      </c>
      <c r="T308" s="1409" t="s">
        <v>2267</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2172</v>
      </c>
      <c r="AF308" s="1397" t="s">
        <v>24</v>
      </c>
      <c r="AG308" s="1397" t="str">
        <f>IF(X308&gt;=1,(AB308*12+AD308)-(X308*12+Z308)+1,"")</f>
        <v/>
      </c>
      <c r="AH308" s="1365" t="s">
        <v>38</v>
      </c>
      <c r="AI308" s="1489" t="str">
        <f t="shared" ref="AI308" si="287">IFERROR(ROUNDDOWN(ROUND(L306*V308,0)*M306,0)*AG308,"")</f>
        <v/>
      </c>
      <c r="AJ308" s="1553" t="str">
        <f>IFERROR(ROUNDDOWN(ROUND((L306*(V308-AX306)),0)*M306,0)*AG308,"")</f>
        <v/>
      </c>
      <c r="AK308" s="1371"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IF(AND(AB306&lt;&gt;7,AD306&lt;&gt;3),"V列に色付け","")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316"/>
      <c r="B309" s="1439"/>
      <c r="C309" s="1440"/>
      <c r="D309" s="1440"/>
      <c r="E309" s="1440"/>
      <c r="F309" s="1441"/>
      <c r="G309" s="1269"/>
      <c r="H309" s="1269"/>
      <c r="I309" s="1269"/>
      <c r="J309" s="1444"/>
      <c r="K309" s="1269"/>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66"/>
      <c r="AI309" s="1490"/>
      <c r="AJ309" s="1554"/>
      <c r="AK309" s="1372"/>
      <c r="AL309" s="1556"/>
      <c r="AM309" s="1558"/>
      <c r="AN309" s="1550"/>
      <c r="AO309" s="1530"/>
      <c r="AP309" s="1552"/>
      <c r="AQ309" s="1530"/>
      <c r="AR309" s="1532"/>
      <c r="AS309" s="153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314">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42" t="str">
        <f>IF(基本情報入力シート!X128="","",基本情報入力シート!X128)</f>
        <v/>
      </c>
      <c r="K310" s="1267"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2258</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7" t="s">
        <v>10</v>
      </c>
      <c r="Z310" s="1574">
        <f>'別紙様式2-3（６月以降分）'!Z310</f>
        <v>6</v>
      </c>
      <c r="AA310" s="1377" t="s">
        <v>45</v>
      </c>
      <c r="AB310" s="1574">
        <f>'別紙様式2-3（６月以降分）'!AB310</f>
        <v>7</v>
      </c>
      <c r="AC310" s="1377" t="s">
        <v>10</v>
      </c>
      <c r="AD310" s="1574">
        <f>'別紙様式2-3（６月以降分）'!AD310</f>
        <v>3</v>
      </c>
      <c r="AE310" s="1377" t="s">
        <v>2172</v>
      </c>
      <c r="AF310" s="1377" t="s">
        <v>24</v>
      </c>
      <c r="AG310" s="1377">
        <f>IF(X310&gt;=1,(AB310*12+AD310)-(X310*12+Z310)+1,"")</f>
        <v>10</v>
      </c>
      <c r="AH310" s="1379" t="s">
        <v>38</v>
      </c>
      <c r="AI310" s="1381"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315"/>
      <c r="B311" s="1301"/>
      <c r="C311" s="1302"/>
      <c r="D311" s="1302"/>
      <c r="E311" s="1302"/>
      <c r="F311" s="1303"/>
      <c r="G311" s="1268"/>
      <c r="H311" s="1268"/>
      <c r="I311" s="1268"/>
      <c r="J311" s="1443"/>
      <c r="K311" s="1268"/>
      <c r="L311" s="1454"/>
      <c r="M311" s="1463"/>
      <c r="N311" s="1399" t="str">
        <f>IF('別紙様式2-2（４・５月分）'!Q237="","",'別紙様式2-2（４・５月分）'!Q237)</f>
        <v/>
      </c>
      <c r="O311" s="1420"/>
      <c r="P311" s="1426"/>
      <c r="Q311" s="1427"/>
      <c r="R311" s="1428"/>
      <c r="S311" s="1430"/>
      <c r="T311" s="1432"/>
      <c r="U311" s="1577"/>
      <c r="V311" s="1436"/>
      <c r="W311" s="1438"/>
      <c r="X311" s="1575"/>
      <c r="Y311" s="1378"/>
      <c r="Z311" s="1575"/>
      <c r="AA311" s="1378"/>
      <c r="AB311" s="1575"/>
      <c r="AC311" s="1378"/>
      <c r="AD311" s="1575"/>
      <c r="AE311" s="1378"/>
      <c r="AF311" s="1378"/>
      <c r="AG311" s="1378"/>
      <c r="AH311" s="1380"/>
      <c r="AI311" s="1382"/>
      <c r="AJ311" s="1569"/>
      <c r="AK311" s="1571"/>
      <c r="AL311" s="1573"/>
      <c r="AM311" s="1564"/>
      <c r="AN311" s="1566"/>
      <c r="AO311" s="1394"/>
      <c r="AP311" s="1567"/>
      <c r="AQ311" s="1394"/>
      <c r="AR311" s="1536"/>
      <c r="AS311" s="1539"/>
      <c r="AT311" s="1537" t="str">
        <f t="shared" ref="AT311" si="290">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1"/>
      <c r="C312" s="1302"/>
      <c r="D312" s="1302"/>
      <c r="E312" s="1302"/>
      <c r="F312" s="1303"/>
      <c r="G312" s="1268"/>
      <c r="H312" s="1268"/>
      <c r="I312" s="1268"/>
      <c r="J312" s="1443"/>
      <c r="K312" s="1268"/>
      <c r="L312" s="1454"/>
      <c r="M312" s="1463"/>
      <c r="N312" s="1400"/>
      <c r="O312" s="1421"/>
      <c r="P312" s="1401" t="s">
        <v>2179</v>
      </c>
      <c r="Q312" s="1460" t="str">
        <f>IFERROR(VLOOKUP('別紙様式2-2（４・５月分）'!AR236,【参考】数式用!$AT$5:$AV$22,3,FALSE),"")</f>
        <v/>
      </c>
      <c r="R312" s="1405" t="s">
        <v>2190</v>
      </c>
      <c r="S312" s="1407" t="str">
        <f>IFERROR(VLOOKUP(K310,【参考】数式用!$A$5:$AB$27,MATCH(Q312,【参考】数式用!$B$4:$AB$4,0)+1,0),"")</f>
        <v/>
      </c>
      <c r="T312" s="1409" t="s">
        <v>2267</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2172</v>
      </c>
      <c r="AF312" s="1397" t="s">
        <v>24</v>
      </c>
      <c r="AG312" s="1397" t="str">
        <f>IF(X312&gt;=1,(AB312*12+AD312)-(X312*12+Z312)+1,"")</f>
        <v/>
      </c>
      <c r="AH312" s="1365" t="s">
        <v>38</v>
      </c>
      <c r="AI312" s="1489" t="str">
        <f t="shared" ref="AI312" si="291">IFERROR(ROUNDDOWN(ROUND(L310*V312,0)*M310,0)*AG312,"")</f>
        <v/>
      </c>
      <c r="AJ312" s="1553" t="str">
        <f>IFERROR(ROUNDDOWN(ROUND((L310*(V312-AX310)),0)*M310,0)*AG312,"")</f>
        <v/>
      </c>
      <c r="AK312" s="1371"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IF(AND(AB310&lt;&gt;7,AD310&lt;&gt;3),"V列に色付け","")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316"/>
      <c r="B313" s="1439"/>
      <c r="C313" s="1440"/>
      <c r="D313" s="1440"/>
      <c r="E313" s="1440"/>
      <c r="F313" s="1441"/>
      <c r="G313" s="1269"/>
      <c r="H313" s="1269"/>
      <c r="I313" s="1269"/>
      <c r="J313" s="1444"/>
      <c r="K313" s="1269"/>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66"/>
      <c r="AI313" s="1490"/>
      <c r="AJ313" s="1554"/>
      <c r="AK313" s="1372"/>
      <c r="AL313" s="1556"/>
      <c r="AM313" s="1558"/>
      <c r="AN313" s="1550"/>
      <c r="AO313" s="1530"/>
      <c r="AP313" s="1552"/>
      <c r="AQ313" s="1530"/>
      <c r="AR313" s="1532"/>
      <c r="AS313" s="153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43"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2258</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7" t="s">
        <v>10</v>
      </c>
      <c r="Z314" s="1574">
        <f>'別紙様式2-3（６月以降分）'!Z314</f>
        <v>6</v>
      </c>
      <c r="AA314" s="1377" t="s">
        <v>45</v>
      </c>
      <c r="AB314" s="1574">
        <f>'別紙様式2-3（６月以降分）'!AB314</f>
        <v>7</v>
      </c>
      <c r="AC314" s="1377" t="s">
        <v>10</v>
      </c>
      <c r="AD314" s="1574">
        <f>'別紙様式2-3（６月以降分）'!AD314</f>
        <v>3</v>
      </c>
      <c r="AE314" s="1377" t="s">
        <v>2172</v>
      </c>
      <c r="AF314" s="1377" t="s">
        <v>24</v>
      </c>
      <c r="AG314" s="1377">
        <f>IF(X314&gt;=1,(AB314*12+AD314)-(X314*12+Z314)+1,"")</f>
        <v>10</v>
      </c>
      <c r="AH314" s="1379" t="s">
        <v>38</v>
      </c>
      <c r="AI314" s="1381"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315"/>
      <c r="B315" s="1301"/>
      <c r="C315" s="1302"/>
      <c r="D315" s="1302"/>
      <c r="E315" s="1302"/>
      <c r="F315" s="1303"/>
      <c r="G315" s="1268"/>
      <c r="H315" s="1268"/>
      <c r="I315" s="1268"/>
      <c r="J315" s="1443"/>
      <c r="K315" s="1268"/>
      <c r="L315" s="1454"/>
      <c r="M315" s="1456"/>
      <c r="N315" s="1399" t="str">
        <f>IF('別紙様式2-2（４・５月分）'!Q240="","",'別紙様式2-2（４・５月分）'!Q240)</f>
        <v/>
      </c>
      <c r="O315" s="1420"/>
      <c r="P315" s="1426"/>
      <c r="Q315" s="1427"/>
      <c r="R315" s="1428"/>
      <c r="S315" s="1430"/>
      <c r="T315" s="1432"/>
      <c r="U315" s="1577"/>
      <c r="V315" s="1436"/>
      <c r="W315" s="1438"/>
      <c r="X315" s="1575"/>
      <c r="Y315" s="1378"/>
      <c r="Z315" s="1575"/>
      <c r="AA315" s="1378"/>
      <c r="AB315" s="1575"/>
      <c r="AC315" s="1378"/>
      <c r="AD315" s="1575"/>
      <c r="AE315" s="1378"/>
      <c r="AF315" s="1378"/>
      <c r="AG315" s="1378"/>
      <c r="AH315" s="1380"/>
      <c r="AI315" s="1382"/>
      <c r="AJ315" s="1569"/>
      <c r="AK315" s="1571"/>
      <c r="AL315" s="1573"/>
      <c r="AM315" s="1564"/>
      <c r="AN315" s="1566"/>
      <c r="AO315" s="1394"/>
      <c r="AP315" s="1567"/>
      <c r="AQ315" s="1394"/>
      <c r="AR315" s="1536"/>
      <c r="AS315" s="1539"/>
      <c r="AT315" s="1537" t="str">
        <f t="shared" ref="AT315" si="294">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1"/>
      <c r="C316" s="1302"/>
      <c r="D316" s="1302"/>
      <c r="E316" s="1302"/>
      <c r="F316" s="1303"/>
      <c r="G316" s="1268"/>
      <c r="H316" s="1268"/>
      <c r="I316" s="1268"/>
      <c r="J316" s="1443"/>
      <c r="K316" s="1268"/>
      <c r="L316" s="1454"/>
      <c r="M316" s="1456"/>
      <c r="N316" s="1400"/>
      <c r="O316" s="1421"/>
      <c r="P316" s="1401" t="s">
        <v>2179</v>
      </c>
      <c r="Q316" s="1460" t="str">
        <f>IFERROR(VLOOKUP('別紙様式2-2（４・５月分）'!AR239,【参考】数式用!$AT$5:$AV$22,3,FALSE),"")</f>
        <v/>
      </c>
      <c r="R316" s="1405" t="s">
        <v>2190</v>
      </c>
      <c r="S316" s="1447" t="str">
        <f>IFERROR(VLOOKUP(K314,【参考】数式用!$A$5:$AB$27,MATCH(Q316,【参考】数式用!$B$4:$AB$4,0)+1,0),"")</f>
        <v/>
      </c>
      <c r="T316" s="1409" t="s">
        <v>2267</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2172</v>
      </c>
      <c r="AF316" s="1397" t="s">
        <v>24</v>
      </c>
      <c r="AG316" s="1397" t="str">
        <f>IF(X316&gt;=1,(AB316*12+AD316)-(X316*12+Z316)+1,"")</f>
        <v/>
      </c>
      <c r="AH316" s="1365" t="s">
        <v>38</v>
      </c>
      <c r="AI316" s="1489" t="str">
        <f t="shared" ref="AI316" si="295">IFERROR(ROUNDDOWN(ROUND(L314*V316,0)*M314,0)*AG316,"")</f>
        <v/>
      </c>
      <c r="AJ316" s="1553" t="str">
        <f>IFERROR(ROUNDDOWN(ROUND((L314*(V316-AX314)),0)*M314,0)*AG316,"")</f>
        <v/>
      </c>
      <c r="AK316" s="1371"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IF(AND(AB314&lt;&gt;7,AD314&lt;&gt;3),"V列に色付け","")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316"/>
      <c r="B317" s="1439"/>
      <c r="C317" s="1440"/>
      <c r="D317" s="1440"/>
      <c r="E317" s="1440"/>
      <c r="F317" s="1441"/>
      <c r="G317" s="1269"/>
      <c r="H317" s="1269"/>
      <c r="I317" s="1269"/>
      <c r="J317" s="1444"/>
      <c r="K317" s="1269"/>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66"/>
      <c r="AI317" s="1490"/>
      <c r="AJ317" s="1554"/>
      <c r="AK317" s="1372"/>
      <c r="AL317" s="1556"/>
      <c r="AM317" s="1558"/>
      <c r="AN317" s="1550"/>
      <c r="AO317" s="1530"/>
      <c r="AP317" s="1552"/>
      <c r="AQ317" s="1530"/>
      <c r="AR317" s="1532"/>
      <c r="AS317" s="153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314">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42" t="str">
        <f>IF(基本情報入力シート!X130="","",基本情報入力シート!X130)</f>
        <v/>
      </c>
      <c r="K318" s="1267"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2258</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7" t="s">
        <v>10</v>
      </c>
      <c r="Z318" s="1574">
        <f>'別紙様式2-3（６月以降分）'!Z318</f>
        <v>6</v>
      </c>
      <c r="AA318" s="1377" t="s">
        <v>45</v>
      </c>
      <c r="AB318" s="1574">
        <f>'別紙様式2-3（６月以降分）'!AB318</f>
        <v>7</v>
      </c>
      <c r="AC318" s="1377" t="s">
        <v>10</v>
      </c>
      <c r="AD318" s="1574">
        <f>'別紙様式2-3（６月以降分）'!AD318</f>
        <v>3</v>
      </c>
      <c r="AE318" s="1377" t="s">
        <v>2172</v>
      </c>
      <c r="AF318" s="1377" t="s">
        <v>24</v>
      </c>
      <c r="AG318" s="1377">
        <f>IF(X318&gt;=1,(AB318*12+AD318)-(X318*12+Z318)+1,"")</f>
        <v>10</v>
      </c>
      <c r="AH318" s="1379" t="s">
        <v>38</v>
      </c>
      <c r="AI318" s="1381"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315"/>
      <c r="B319" s="1301"/>
      <c r="C319" s="1302"/>
      <c r="D319" s="1302"/>
      <c r="E319" s="1302"/>
      <c r="F319" s="1303"/>
      <c r="G319" s="1268"/>
      <c r="H319" s="1268"/>
      <c r="I319" s="1268"/>
      <c r="J319" s="1443"/>
      <c r="K319" s="1268"/>
      <c r="L319" s="1454"/>
      <c r="M319" s="1463"/>
      <c r="N319" s="1399" t="str">
        <f>IF('別紙様式2-2（４・５月分）'!Q243="","",'別紙様式2-2（４・５月分）'!Q243)</f>
        <v/>
      </c>
      <c r="O319" s="1420"/>
      <c r="P319" s="1426"/>
      <c r="Q319" s="1427"/>
      <c r="R319" s="1428"/>
      <c r="S319" s="1430"/>
      <c r="T319" s="1432"/>
      <c r="U319" s="1577"/>
      <c r="V319" s="1436"/>
      <c r="W319" s="1438"/>
      <c r="X319" s="1575"/>
      <c r="Y319" s="1378"/>
      <c r="Z319" s="1575"/>
      <c r="AA319" s="1378"/>
      <c r="AB319" s="1575"/>
      <c r="AC319" s="1378"/>
      <c r="AD319" s="1575"/>
      <c r="AE319" s="1378"/>
      <c r="AF319" s="1378"/>
      <c r="AG319" s="1378"/>
      <c r="AH319" s="1380"/>
      <c r="AI319" s="1382"/>
      <c r="AJ319" s="1569"/>
      <c r="AK319" s="1571"/>
      <c r="AL319" s="1573"/>
      <c r="AM319" s="1564"/>
      <c r="AN319" s="1566"/>
      <c r="AO319" s="1394"/>
      <c r="AP319" s="1567"/>
      <c r="AQ319" s="1394"/>
      <c r="AR319" s="1536"/>
      <c r="AS319" s="1539"/>
      <c r="AT319" s="1537" t="str">
        <f t="shared" ref="AT319" si="298">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1"/>
      <c r="C320" s="1302"/>
      <c r="D320" s="1302"/>
      <c r="E320" s="1302"/>
      <c r="F320" s="1303"/>
      <c r="G320" s="1268"/>
      <c r="H320" s="1268"/>
      <c r="I320" s="1268"/>
      <c r="J320" s="1443"/>
      <c r="K320" s="1268"/>
      <c r="L320" s="1454"/>
      <c r="M320" s="1463"/>
      <c r="N320" s="1400"/>
      <c r="O320" s="1421"/>
      <c r="P320" s="1401" t="s">
        <v>2179</v>
      </c>
      <c r="Q320" s="1460" t="str">
        <f>IFERROR(VLOOKUP('別紙様式2-2（４・５月分）'!AR242,【参考】数式用!$AT$5:$AV$22,3,FALSE),"")</f>
        <v/>
      </c>
      <c r="R320" s="1405" t="s">
        <v>2190</v>
      </c>
      <c r="S320" s="1407" t="str">
        <f>IFERROR(VLOOKUP(K318,【参考】数式用!$A$5:$AB$27,MATCH(Q320,【参考】数式用!$B$4:$AB$4,0)+1,0),"")</f>
        <v/>
      </c>
      <c r="T320" s="1409" t="s">
        <v>2267</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2172</v>
      </c>
      <c r="AF320" s="1397" t="s">
        <v>24</v>
      </c>
      <c r="AG320" s="1397" t="str">
        <f>IF(X320&gt;=1,(AB320*12+AD320)-(X320*12+Z320)+1,"")</f>
        <v/>
      </c>
      <c r="AH320" s="1365" t="s">
        <v>38</v>
      </c>
      <c r="AI320" s="1489" t="str">
        <f t="shared" ref="AI320" si="299">IFERROR(ROUNDDOWN(ROUND(L318*V320,0)*M318,0)*AG320,"")</f>
        <v/>
      </c>
      <c r="AJ320" s="1553" t="str">
        <f>IFERROR(ROUNDDOWN(ROUND((L318*(V320-AX318)),0)*M318,0)*AG320,"")</f>
        <v/>
      </c>
      <c r="AK320" s="1371"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IF(AND(AB318&lt;&gt;7,AD318&lt;&gt;3),"V列に色付け","")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316"/>
      <c r="B321" s="1439"/>
      <c r="C321" s="1440"/>
      <c r="D321" s="1440"/>
      <c r="E321" s="1440"/>
      <c r="F321" s="1441"/>
      <c r="G321" s="1269"/>
      <c r="H321" s="1269"/>
      <c r="I321" s="1269"/>
      <c r="J321" s="1444"/>
      <c r="K321" s="1269"/>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66"/>
      <c r="AI321" s="1490"/>
      <c r="AJ321" s="1554"/>
      <c r="AK321" s="1372"/>
      <c r="AL321" s="1556"/>
      <c r="AM321" s="1558"/>
      <c r="AN321" s="1550"/>
      <c r="AO321" s="1530"/>
      <c r="AP321" s="1552"/>
      <c r="AQ321" s="1530"/>
      <c r="AR321" s="1532"/>
      <c r="AS321" s="153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43"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2258</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7" t="s">
        <v>10</v>
      </c>
      <c r="Z322" s="1574">
        <f>'別紙様式2-3（６月以降分）'!Z322</f>
        <v>6</v>
      </c>
      <c r="AA322" s="1377" t="s">
        <v>45</v>
      </c>
      <c r="AB322" s="1574">
        <f>'別紙様式2-3（６月以降分）'!AB322</f>
        <v>7</v>
      </c>
      <c r="AC322" s="1377" t="s">
        <v>10</v>
      </c>
      <c r="AD322" s="1574">
        <f>'別紙様式2-3（６月以降分）'!AD322</f>
        <v>3</v>
      </c>
      <c r="AE322" s="1377" t="s">
        <v>2172</v>
      </c>
      <c r="AF322" s="1377" t="s">
        <v>24</v>
      </c>
      <c r="AG322" s="1377">
        <f>IF(X322&gt;=1,(AB322*12+AD322)-(X322*12+Z322)+1,"")</f>
        <v>10</v>
      </c>
      <c r="AH322" s="1379" t="s">
        <v>38</v>
      </c>
      <c r="AI322" s="1381"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315"/>
      <c r="B323" s="1301"/>
      <c r="C323" s="1302"/>
      <c r="D323" s="1302"/>
      <c r="E323" s="1302"/>
      <c r="F323" s="1303"/>
      <c r="G323" s="1268"/>
      <c r="H323" s="1268"/>
      <c r="I323" s="1268"/>
      <c r="J323" s="1443"/>
      <c r="K323" s="1268"/>
      <c r="L323" s="1454"/>
      <c r="M323" s="1456"/>
      <c r="N323" s="1399" t="str">
        <f>IF('別紙様式2-2（４・５月分）'!Q246="","",'別紙様式2-2（４・５月分）'!Q246)</f>
        <v/>
      </c>
      <c r="O323" s="1420"/>
      <c r="P323" s="1426"/>
      <c r="Q323" s="1427"/>
      <c r="R323" s="1428"/>
      <c r="S323" s="1430"/>
      <c r="T323" s="1432"/>
      <c r="U323" s="1577"/>
      <c r="V323" s="1436"/>
      <c r="W323" s="1438"/>
      <c r="X323" s="1575"/>
      <c r="Y323" s="1378"/>
      <c r="Z323" s="1575"/>
      <c r="AA323" s="1378"/>
      <c r="AB323" s="1575"/>
      <c r="AC323" s="1378"/>
      <c r="AD323" s="1575"/>
      <c r="AE323" s="1378"/>
      <c r="AF323" s="1378"/>
      <c r="AG323" s="1378"/>
      <c r="AH323" s="1380"/>
      <c r="AI323" s="1382"/>
      <c r="AJ323" s="1569"/>
      <c r="AK323" s="1571"/>
      <c r="AL323" s="1573"/>
      <c r="AM323" s="1564"/>
      <c r="AN323" s="1566"/>
      <c r="AO323" s="1394"/>
      <c r="AP323" s="1567"/>
      <c r="AQ323" s="1394"/>
      <c r="AR323" s="1536"/>
      <c r="AS323" s="1539"/>
      <c r="AT323" s="1537" t="str">
        <f t="shared" ref="AT323" si="302">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1"/>
      <c r="C324" s="1302"/>
      <c r="D324" s="1302"/>
      <c r="E324" s="1302"/>
      <c r="F324" s="1303"/>
      <c r="G324" s="1268"/>
      <c r="H324" s="1268"/>
      <c r="I324" s="1268"/>
      <c r="J324" s="1443"/>
      <c r="K324" s="1268"/>
      <c r="L324" s="1454"/>
      <c r="M324" s="1456"/>
      <c r="N324" s="1400"/>
      <c r="O324" s="1421"/>
      <c r="P324" s="1401" t="s">
        <v>2179</v>
      </c>
      <c r="Q324" s="1460" t="str">
        <f>IFERROR(VLOOKUP('別紙様式2-2（４・５月分）'!AR245,【参考】数式用!$AT$5:$AV$22,3,FALSE),"")</f>
        <v/>
      </c>
      <c r="R324" s="1405" t="s">
        <v>2190</v>
      </c>
      <c r="S324" s="1447" t="str">
        <f>IFERROR(VLOOKUP(K322,【参考】数式用!$A$5:$AB$27,MATCH(Q324,【参考】数式用!$B$4:$AB$4,0)+1,0),"")</f>
        <v/>
      </c>
      <c r="T324" s="1409" t="s">
        <v>2267</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2172</v>
      </c>
      <c r="AF324" s="1397" t="s">
        <v>24</v>
      </c>
      <c r="AG324" s="1397" t="str">
        <f>IF(X324&gt;=1,(AB324*12+AD324)-(X324*12+Z324)+1,"")</f>
        <v/>
      </c>
      <c r="AH324" s="1365" t="s">
        <v>38</v>
      </c>
      <c r="AI324" s="1489" t="str">
        <f t="shared" ref="AI324" si="303">IFERROR(ROUNDDOWN(ROUND(L322*V324,0)*M322,0)*AG324,"")</f>
        <v/>
      </c>
      <c r="AJ324" s="1553" t="str">
        <f>IFERROR(ROUNDDOWN(ROUND((L322*(V324-AX322)),0)*M322,0)*AG324,"")</f>
        <v/>
      </c>
      <c r="AK324" s="1371"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IF(AND(AB322&lt;&gt;7,AD322&lt;&gt;3),"V列に色付け","")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316"/>
      <c r="B325" s="1439"/>
      <c r="C325" s="1440"/>
      <c r="D325" s="1440"/>
      <c r="E325" s="1440"/>
      <c r="F325" s="1441"/>
      <c r="G325" s="1269"/>
      <c r="H325" s="1269"/>
      <c r="I325" s="1269"/>
      <c r="J325" s="1444"/>
      <c r="K325" s="1269"/>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66"/>
      <c r="AI325" s="1490"/>
      <c r="AJ325" s="1554"/>
      <c r="AK325" s="1372"/>
      <c r="AL325" s="1556"/>
      <c r="AM325" s="1558"/>
      <c r="AN325" s="1550"/>
      <c r="AO325" s="1530"/>
      <c r="AP325" s="1552"/>
      <c r="AQ325" s="1530"/>
      <c r="AR325" s="1532"/>
      <c r="AS325" s="153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314">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42" t="str">
        <f>IF(基本情報入力シート!X132="","",基本情報入力シート!X132)</f>
        <v/>
      </c>
      <c r="K326" s="1267"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2258</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7" t="s">
        <v>10</v>
      </c>
      <c r="Z326" s="1574">
        <f>'別紙様式2-3（６月以降分）'!Z326</f>
        <v>6</v>
      </c>
      <c r="AA326" s="1377" t="s">
        <v>45</v>
      </c>
      <c r="AB326" s="1574">
        <f>'別紙様式2-3（６月以降分）'!AB326</f>
        <v>7</v>
      </c>
      <c r="AC326" s="1377" t="s">
        <v>10</v>
      </c>
      <c r="AD326" s="1574">
        <f>'別紙様式2-3（６月以降分）'!AD326</f>
        <v>3</v>
      </c>
      <c r="AE326" s="1377" t="s">
        <v>2172</v>
      </c>
      <c r="AF326" s="1377" t="s">
        <v>24</v>
      </c>
      <c r="AG326" s="1377">
        <f>IF(X326&gt;=1,(AB326*12+AD326)-(X326*12+Z326)+1,"")</f>
        <v>10</v>
      </c>
      <c r="AH326" s="1379" t="s">
        <v>38</v>
      </c>
      <c r="AI326" s="1381"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315"/>
      <c r="B327" s="1301"/>
      <c r="C327" s="1302"/>
      <c r="D327" s="1302"/>
      <c r="E327" s="1302"/>
      <c r="F327" s="1303"/>
      <c r="G327" s="1268"/>
      <c r="H327" s="1268"/>
      <c r="I327" s="1268"/>
      <c r="J327" s="1443"/>
      <c r="K327" s="1268"/>
      <c r="L327" s="1454"/>
      <c r="M327" s="1463"/>
      <c r="N327" s="1399" t="str">
        <f>IF('別紙様式2-2（４・５月分）'!Q249="","",'別紙様式2-2（４・５月分）'!Q249)</f>
        <v/>
      </c>
      <c r="O327" s="1420"/>
      <c r="P327" s="1426"/>
      <c r="Q327" s="1427"/>
      <c r="R327" s="1428"/>
      <c r="S327" s="1430"/>
      <c r="T327" s="1432"/>
      <c r="U327" s="1577"/>
      <c r="V327" s="1436"/>
      <c r="W327" s="1438"/>
      <c r="X327" s="1575"/>
      <c r="Y327" s="1378"/>
      <c r="Z327" s="1575"/>
      <c r="AA327" s="1378"/>
      <c r="AB327" s="1575"/>
      <c r="AC327" s="1378"/>
      <c r="AD327" s="1575"/>
      <c r="AE327" s="1378"/>
      <c r="AF327" s="1378"/>
      <c r="AG327" s="1378"/>
      <c r="AH327" s="1380"/>
      <c r="AI327" s="1382"/>
      <c r="AJ327" s="1569"/>
      <c r="AK327" s="1571"/>
      <c r="AL327" s="1573"/>
      <c r="AM327" s="1564"/>
      <c r="AN327" s="1566"/>
      <c r="AO327" s="1394"/>
      <c r="AP327" s="1567"/>
      <c r="AQ327" s="1394"/>
      <c r="AR327" s="1536"/>
      <c r="AS327" s="1539"/>
      <c r="AT327" s="1537" t="str">
        <f t="shared" ref="AT327" si="306">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1"/>
      <c r="C328" s="1302"/>
      <c r="D328" s="1302"/>
      <c r="E328" s="1302"/>
      <c r="F328" s="1303"/>
      <c r="G328" s="1268"/>
      <c r="H328" s="1268"/>
      <c r="I328" s="1268"/>
      <c r="J328" s="1443"/>
      <c r="K328" s="1268"/>
      <c r="L328" s="1454"/>
      <c r="M328" s="1463"/>
      <c r="N328" s="1400"/>
      <c r="O328" s="1421"/>
      <c r="P328" s="1401" t="s">
        <v>2179</v>
      </c>
      <c r="Q328" s="1460" t="str">
        <f>IFERROR(VLOOKUP('別紙様式2-2（４・５月分）'!AR248,【参考】数式用!$AT$5:$AV$22,3,FALSE),"")</f>
        <v/>
      </c>
      <c r="R328" s="1405" t="s">
        <v>2190</v>
      </c>
      <c r="S328" s="1407" t="str">
        <f>IFERROR(VLOOKUP(K326,【参考】数式用!$A$5:$AB$27,MATCH(Q328,【参考】数式用!$B$4:$AB$4,0)+1,0),"")</f>
        <v/>
      </c>
      <c r="T328" s="1409" t="s">
        <v>2267</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2172</v>
      </c>
      <c r="AF328" s="1397" t="s">
        <v>24</v>
      </c>
      <c r="AG328" s="1397" t="str">
        <f>IF(X328&gt;=1,(AB328*12+AD328)-(X328*12+Z328)+1,"")</f>
        <v/>
      </c>
      <c r="AH328" s="1365" t="s">
        <v>38</v>
      </c>
      <c r="AI328" s="1489" t="str">
        <f t="shared" ref="AI328" si="307">IFERROR(ROUNDDOWN(ROUND(L326*V328,0)*M326,0)*AG328,"")</f>
        <v/>
      </c>
      <c r="AJ328" s="1553" t="str">
        <f>IFERROR(ROUNDDOWN(ROUND((L326*(V328-AX326)),0)*M326,0)*AG328,"")</f>
        <v/>
      </c>
      <c r="AK328" s="1371"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IF(AND(AB326&lt;&gt;7,AD326&lt;&gt;3),"V列に色付け","")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316"/>
      <c r="B329" s="1439"/>
      <c r="C329" s="1440"/>
      <c r="D329" s="1440"/>
      <c r="E329" s="1440"/>
      <c r="F329" s="1441"/>
      <c r="G329" s="1269"/>
      <c r="H329" s="1269"/>
      <c r="I329" s="1269"/>
      <c r="J329" s="1444"/>
      <c r="K329" s="1269"/>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66"/>
      <c r="AI329" s="1490"/>
      <c r="AJ329" s="1554"/>
      <c r="AK329" s="1372"/>
      <c r="AL329" s="1556"/>
      <c r="AM329" s="1558"/>
      <c r="AN329" s="1550"/>
      <c r="AO329" s="1530"/>
      <c r="AP329" s="1552"/>
      <c r="AQ329" s="1530"/>
      <c r="AR329" s="1532"/>
      <c r="AS329" s="153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43"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2258</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7" t="s">
        <v>10</v>
      </c>
      <c r="Z330" s="1574">
        <f>'別紙様式2-3（６月以降分）'!Z330</f>
        <v>6</v>
      </c>
      <c r="AA330" s="1377" t="s">
        <v>45</v>
      </c>
      <c r="AB330" s="1574">
        <f>'別紙様式2-3（６月以降分）'!AB330</f>
        <v>7</v>
      </c>
      <c r="AC330" s="1377" t="s">
        <v>10</v>
      </c>
      <c r="AD330" s="1574">
        <f>'別紙様式2-3（６月以降分）'!AD330</f>
        <v>3</v>
      </c>
      <c r="AE330" s="1377" t="s">
        <v>2172</v>
      </c>
      <c r="AF330" s="1377" t="s">
        <v>24</v>
      </c>
      <c r="AG330" s="1377">
        <f>IF(X330&gt;=1,(AB330*12+AD330)-(X330*12+Z330)+1,"")</f>
        <v>10</v>
      </c>
      <c r="AH330" s="1379" t="s">
        <v>38</v>
      </c>
      <c r="AI330" s="1381"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315"/>
      <c r="B331" s="1301"/>
      <c r="C331" s="1302"/>
      <c r="D331" s="1302"/>
      <c r="E331" s="1302"/>
      <c r="F331" s="1303"/>
      <c r="G331" s="1268"/>
      <c r="H331" s="1268"/>
      <c r="I331" s="1268"/>
      <c r="J331" s="1443"/>
      <c r="K331" s="1268"/>
      <c r="L331" s="1454"/>
      <c r="M331" s="1456"/>
      <c r="N331" s="1399" t="str">
        <f>IF('別紙様式2-2（４・５月分）'!Q252="","",'別紙様式2-2（４・５月分）'!Q252)</f>
        <v/>
      </c>
      <c r="O331" s="1420"/>
      <c r="P331" s="1426"/>
      <c r="Q331" s="1427"/>
      <c r="R331" s="1428"/>
      <c r="S331" s="1430"/>
      <c r="T331" s="1432"/>
      <c r="U331" s="1577"/>
      <c r="V331" s="1436"/>
      <c r="W331" s="1438"/>
      <c r="X331" s="1575"/>
      <c r="Y331" s="1378"/>
      <c r="Z331" s="1575"/>
      <c r="AA331" s="1378"/>
      <c r="AB331" s="1575"/>
      <c r="AC331" s="1378"/>
      <c r="AD331" s="1575"/>
      <c r="AE331" s="1378"/>
      <c r="AF331" s="1378"/>
      <c r="AG331" s="1378"/>
      <c r="AH331" s="1380"/>
      <c r="AI331" s="1382"/>
      <c r="AJ331" s="1569"/>
      <c r="AK331" s="1571"/>
      <c r="AL331" s="1573"/>
      <c r="AM331" s="1564"/>
      <c r="AN331" s="1566"/>
      <c r="AO331" s="1394"/>
      <c r="AP331" s="1567"/>
      <c r="AQ331" s="1394"/>
      <c r="AR331" s="1536"/>
      <c r="AS331" s="1539"/>
      <c r="AT331" s="1537" t="str">
        <f t="shared" ref="AT331" si="310">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1"/>
      <c r="C332" s="1302"/>
      <c r="D332" s="1302"/>
      <c r="E332" s="1302"/>
      <c r="F332" s="1303"/>
      <c r="G332" s="1268"/>
      <c r="H332" s="1268"/>
      <c r="I332" s="1268"/>
      <c r="J332" s="1443"/>
      <c r="K332" s="1268"/>
      <c r="L332" s="1454"/>
      <c r="M332" s="1456"/>
      <c r="N332" s="1400"/>
      <c r="O332" s="1421"/>
      <c r="P332" s="1401" t="s">
        <v>2179</v>
      </c>
      <c r="Q332" s="1460" t="str">
        <f>IFERROR(VLOOKUP('別紙様式2-2（４・５月分）'!AR251,【参考】数式用!$AT$5:$AV$22,3,FALSE),"")</f>
        <v/>
      </c>
      <c r="R332" s="1405" t="s">
        <v>2190</v>
      </c>
      <c r="S332" s="1447" t="str">
        <f>IFERROR(VLOOKUP(K330,【参考】数式用!$A$5:$AB$27,MATCH(Q332,【参考】数式用!$B$4:$AB$4,0)+1,0),"")</f>
        <v/>
      </c>
      <c r="T332" s="1409" t="s">
        <v>2267</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2172</v>
      </c>
      <c r="AF332" s="1397" t="s">
        <v>24</v>
      </c>
      <c r="AG332" s="1397" t="str">
        <f>IF(X332&gt;=1,(AB332*12+AD332)-(X332*12+Z332)+1,"")</f>
        <v/>
      </c>
      <c r="AH332" s="1365" t="s">
        <v>38</v>
      </c>
      <c r="AI332" s="1489" t="str">
        <f t="shared" ref="AI332" si="311">IFERROR(ROUNDDOWN(ROUND(L330*V332,0)*M330,0)*AG332,"")</f>
        <v/>
      </c>
      <c r="AJ332" s="1553" t="str">
        <f>IFERROR(ROUNDDOWN(ROUND((L330*(V332-AX330)),0)*M330,0)*AG332,"")</f>
        <v/>
      </c>
      <c r="AK332" s="1371"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IF(AND(AB330&lt;&gt;7,AD330&lt;&gt;3),"V列に色付け","")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316"/>
      <c r="B333" s="1439"/>
      <c r="C333" s="1440"/>
      <c r="D333" s="1440"/>
      <c r="E333" s="1440"/>
      <c r="F333" s="1441"/>
      <c r="G333" s="1269"/>
      <c r="H333" s="1269"/>
      <c r="I333" s="1269"/>
      <c r="J333" s="1444"/>
      <c r="K333" s="1269"/>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66"/>
      <c r="AI333" s="1490"/>
      <c r="AJ333" s="1554"/>
      <c r="AK333" s="1372"/>
      <c r="AL333" s="1556"/>
      <c r="AM333" s="1558"/>
      <c r="AN333" s="1550"/>
      <c r="AO333" s="1530"/>
      <c r="AP333" s="1552"/>
      <c r="AQ333" s="1530"/>
      <c r="AR333" s="1532"/>
      <c r="AS333" s="153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314">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42" t="str">
        <f>IF(基本情報入力シート!X134="","",基本情報入力シート!X134)</f>
        <v/>
      </c>
      <c r="K334" s="1267"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2258</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7" t="s">
        <v>10</v>
      </c>
      <c r="Z334" s="1574">
        <f>'別紙様式2-3（６月以降分）'!Z334</f>
        <v>6</v>
      </c>
      <c r="AA334" s="1377" t="s">
        <v>45</v>
      </c>
      <c r="AB334" s="1574">
        <f>'別紙様式2-3（６月以降分）'!AB334</f>
        <v>7</v>
      </c>
      <c r="AC334" s="1377" t="s">
        <v>10</v>
      </c>
      <c r="AD334" s="1574">
        <f>'別紙様式2-3（６月以降分）'!AD334</f>
        <v>3</v>
      </c>
      <c r="AE334" s="1377" t="s">
        <v>2172</v>
      </c>
      <c r="AF334" s="1377" t="s">
        <v>24</v>
      </c>
      <c r="AG334" s="1377">
        <f>IF(X334&gt;=1,(AB334*12+AD334)-(X334*12+Z334)+1,"")</f>
        <v>10</v>
      </c>
      <c r="AH334" s="1379" t="s">
        <v>38</v>
      </c>
      <c r="AI334" s="1381"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315"/>
      <c r="B335" s="1301"/>
      <c r="C335" s="1302"/>
      <c r="D335" s="1302"/>
      <c r="E335" s="1302"/>
      <c r="F335" s="1303"/>
      <c r="G335" s="1268"/>
      <c r="H335" s="1268"/>
      <c r="I335" s="1268"/>
      <c r="J335" s="1443"/>
      <c r="K335" s="1268"/>
      <c r="L335" s="1454"/>
      <c r="M335" s="1463"/>
      <c r="N335" s="1399" t="str">
        <f>IF('別紙様式2-2（４・５月分）'!Q255="","",'別紙様式2-2（４・５月分）'!Q255)</f>
        <v/>
      </c>
      <c r="O335" s="1420"/>
      <c r="P335" s="1426"/>
      <c r="Q335" s="1427"/>
      <c r="R335" s="1428"/>
      <c r="S335" s="1430"/>
      <c r="T335" s="1432"/>
      <c r="U335" s="1577"/>
      <c r="V335" s="1436"/>
      <c r="W335" s="1438"/>
      <c r="X335" s="1575"/>
      <c r="Y335" s="1378"/>
      <c r="Z335" s="1575"/>
      <c r="AA335" s="1378"/>
      <c r="AB335" s="1575"/>
      <c r="AC335" s="1378"/>
      <c r="AD335" s="1575"/>
      <c r="AE335" s="1378"/>
      <c r="AF335" s="1378"/>
      <c r="AG335" s="1378"/>
      <c r="AH335" s="1380"/>
      <c r="AI335" s="1382"/>
      <c r="AJ335" s="1569"/>
      <c r="AK335" s="1571"/>
      <c r="AL335" s="1573"/>
      <c r="AM335" s="1564"/>
      <c r="AN335" s="1566"/>
      <c r="AO335" s="1394"/>
      <c r="AP335" s="1567"/>
      <c r="AQ335" s="1394"/>
      <c r="AR335" s="1536"/>
      <c r="AS335" s="1539"/>
      <c r="AT335" s="1537" t="str">
        <f t="shared" ref="AT335" si="314">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1"/>
      <c r="C336" s="1302"/>
      <c r="D336" s="1302"/>
      <c r="E336" s="1302"/>
      <c r="F336" s="1303"/>
      <c r="G336" s="1268"/>
      <c r="H336" s="1268"/>
      <c r="I336" s="1268"/>
      <c r="J336" s="1443"/>
      <c r="K336" s="1268"/>
      <c r="L336" s="1454"/>
      <c r="M336" s="1463"/>
      <c r="N336" s="1400"/>
      <c r="O336" s="1421"/>
      <c r="P336" s="1401" t="s">
        <v>2179</v>
      </c>
      <c r="Q336" s="1460" t="str">
        <f>IFERROR(VLOOKUP('別紙様式2-2（４・５月分）'!AR254,【参考】数式用!$AT$5:$AV$22,3,FALSE),"")</f>
        <v/>
      </c>
      <c r="R336" s="1405" t="s">
        <v>2190</v>
      </c>
      <c r="S336" s="1407" t="str">
        <f>IFERROR(VLOOKUP(K334,【参考】数式用!$A$5:$AB$27,MATCH(Q336,【参考】数式用!$B$4:$AB$4,0)+1,0),"")</f>
        <v/>
      </c>
      <c r="T336" s="1409" t="s">
        <v>2267</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2172</v>
      </c>
      <c r="AF336" s="1397" t="s">
        <v>24</v>
      </c>
      <c r="AG336" s="1397" t="str">
        <f>IF(X336&gt;=1,(AB336*12+AD336)-(X336*12+Z336)+1,"")</f>
        <v/>
      </c>
      <c r="AH336" s="1365" t="s">
        <v>38</v>
      </c>
      <c r="AI336" s="1489" t="str">
        <f t="shared" ref="AI336" si="315">IFERROR(ROUNDDOWN(ROUND(L334*V336,0)*M334,0)*AG336,"")</f>
        <v/>
      </c>
      <c r="AJ336" s="1553" t="str">
        <f>IFERROR(ROUNDDOWN(ROUND((L334*(V336-AX334)),0)*M334,0)*AG336,"")</f>
        <v/>
      </c>
      <c r="AK336" s="1371"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IF(AND(AB334&lt;&gt;7,AD334&lt;&gt;3),"V列に色付け","")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316"/>
      <c r="B337" s="1439"/>
      <c r="C337" s="1440"/>
      <c r="D337" s="1440"/>
      <c r="E337" s="1440"/>
      <c r="F337" s="1441"/>
      <c r="G337" s="1269"/>
      <c r="H337" s="1269"/>
      <c r="I337" s="1269"/>
      <c r="J337" s="1444"/>
      <c r="K337" s="1269"/>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66"/>
      <c r="AI337" s="1490"/>
      <c r="AJ337" s="1554"/>
      <c r="AK337" s="1372"/>
      <c r="AL337" s="1556"/>
      <c r="AM337" s="1558"/>
      <c r="AN337" s="1550"/>
      <c r="AO337" s="1530"/>
      <c r="AP337" s="1552"/>
      <c r="AQ337" s="1530"/>
      <c r="AR337" s="1532"/>
      <c r="AS337" s="153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43"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2258</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7" t="s">
        <v>10</v>
      </c>
      <c r="Z338" s="1574">
        <f>'別紙様式2-3（６月以降分）'!Z338</f>
        <v>6</v>
      </c>
      <c r="AA338" s="1377" t="s">
        <v>45</v>
      </c>
      <c r="AB338" s="1574">
        <f>'別紙様式2-3（６月以降分）'!AB338</f>
        <v>7</v>
      </c>
      <c r="AC338" s="1377" t="s">
        <v>10</v>
      </c>
      <c r="AD338" s="1574">
        <f>'別紙様式2-3（６月以降分）'!AD338</f>
        <v>3</v>
      </c>
      <c r="AE338" s="1377" t="s">
        <v>2172</v>
      </c>
      <c r="AF338" s="1377" t="s">
        <v>24</v>
      </c>
      <c r="AG338" s="1377">
        <f>IF(X338&gt;=1,(AB338*12+AD338)-(X338*12+Z338)+1,"")</f>
        <v>10</v>
      </c>
      <c r="AH338" s="1379" t="s">
        <v>38</v>
      </c>
      <c r="AI338" s="1381"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315"/>
      <c r="B339" s="1301"/>
      <c r="C339" s="1302"/>
      <c r="D339" s="1302"/>
      <c r="E339" s="1302"/>
      <c r="F339" s="1303"/>
      <c r="G339" s="1268"/>
      <c r="H339" s="1268"/>
      <c r="I339" s="1268"/>
      <c r="J339" s="1443"/>
      <c r="K339" s="1268"/>
      <c r="L339" s="1454"/>
      <c r="M339" s="1456"/>
      <c r="N339" s="1399" t="str">
        <f>IF('別紙様式2-2（４・５月分）'!Q258="","",'別紙様式2-2（４・５月分）'!Q258)</f>
        <v/>
      </c>
      <c r="O339" s="1420"/>
      <c r="P339" s="1426"/>
      <c r="Q339" s="1427"/>
      <c r="R339" s="1428"/>
      <c r="S339" s="1430"/>
      <c r="T339" s="1432"/>
      <c r="U339" s="1577"/>
      <c r="V339" s="1436"/>
      <c r="W339" s="1438"/>
      <c r="X339" s="1575"/>
      <c r="Y339" s="1378"/>
      <c r="Z339" s="1575"/>
      <c r="AA339" s="1378"/>
      <c r="AB339" s="1575"/>
      <c r="AC339" s="1378"/>
      <c r="AD339" s="1575"/>
      <c r="AE339" s="1378"/>
      <c r="AF339" s="1378"/>
      <c r="AG339" s="1378"/>
      <c r="AH339" s="1380"/>
      <c r="AI339" s="1382"/>
      <c r="AJ339" s="1569"/>
      <c r="AK339" s="1571"/>
      <c r="AL339" s="1573"/>
      <c r="AM339" s="1564"/>
      <c r="AN339" s="1566"/>
      <c r="AO339" s="1394"/>
      <c r="AP339" s="1567"/>
      <c r="AQ339" s="1394"/>
      <c r="AR339" s="1536"/>
      <c r="AS339" s="1539"/>
      <c r="AT339" s="1537" t="str">
        <f t="shared" ref="AT339" si="31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1"/>
      <c r="C340" s="1302"/>
      <c r="D340" s="1302"/>
      <c r="E340" s="1302"/>
      <c r="F340" s="1303"/>
      <c r="G340" s="1268"/>
      <c r="H340" s="1268"/>
      <c r="I340" s="1268"/>
      <c r="J340" s="1443"/>
      <c r="K340" s="1268"/>
      <c r="L340" s="1454"/>
      <c r="M340" s="1456"/>
      <c r="N340" s="1400"/>
      <c r="O340" s="1421"/>
      <c r="P340" s="1401" t="s">
        <v>2179</v>
      </c>
      <c r="Q340" s="1460" t="str">
        <f>IFERROR(VLOOKUP('別紙様式2-2（４・５月分）'!AR257,【参考】数式用!$AT$5:$AV$22,3,FALSE),"")</f>
        <v/>
      </c>
      <c r="R340" s="1405" t="s">
        <v>2190</v>
      </c>
      <c r="S340" s="1447" t="str">
        <f>IFERROR(VLOOKUP(K338,【参考】数式用!$A$5:$AB$27,MATCH(Q340,【参考】数式用!$B$4:$AB$4,0)+1,0),"")</f>
        <v/>
      </c>
      <c r="T340" s="1409" t="s">
        <v>2267</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2172</v>
      </c>
      <c r="AF340" s="1397" t="s">
        <v>24</v>
      </c>
      <c r="AG340" s="1397" t="str">
        <f>IF(X340&gt;=1,(AB340*12+AD340)-(X340*12+Z340)+1,"")</f>
        <v/>
      </c>
      <c r="AH340" s="1365" t="s">
        <v>38</v>
      </c>
      <c r="AI340" s="1489" t="str">
        <f t="shared" ref="AI340" si="319">IFERROR(ROUNDDOWN(ROUND(L338*V340,0)*M338,0)*AG340,"")</f>
        <v/>
      </c>
      <c r="AJ340" s="1553" t="str">
        <f>IFERROR(ROUNDDOWN(ROUND((L338*(V340-AX338)),0)*M338,0)*AG340,"")</f>
        <v/>
      </c>
      <c r="AK340" s="1371"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IF(AND(AB338&lt;&gt;7,AD338&lt;&gt;3),"V列に色付け","")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316"/>
      <c r="B341" s="1439"/>
      <c r="C341" s="1440"/>
      <c r="D341" s="1440"/>
      <c r="E341" s="1440"/>
      <c r="F341" s="1441"/>
      <c r="G341" s="1269"/>
      <c r="H341" s="1269"/>
      <c r="I341" s="1269"/>
      <c r="J341" s="1444"/>
      <c r="K341" s="1269"/>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66"/>
      <c r="AI341" s="1490"/>
      <c r="AJ341" s="1554"/>
      <c r="AK341" s="1372"/>
      <c r="AL341" s="1556"/>
      <c r="AM341" s="1558"/>
      <c r="AN341" s="1550"/>
      <c r="AO341" s="1530"/>
      <c r="AP341" s="1552"/>
      <c r="AQ341" s="1530"/>
      <c r="AR341" s="1532"/>
      <c r="AS341" s="153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314">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42" t="str">
        <f>IF(基本情報入力シート!X136="","",基本情報入力シート!X136)</f>
        <v/>
      </c>
      <c r="K342" s="1267"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2258</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7" t="s">
        <v>10</v>
      </c>
      <c r="Z342" s="1574">
        <f>'別紙様式2-3（６月以降分）'!Z342</f>
        <v>6</v>
      </c>
      <c r="AA342" s="1377" t="s">
        <v>45</v>
      </c>
      <c r="AB342" s="1574">
        <f>'別紙様式2-3（６月以降分）'!AB342</f>
        <v>7</v>
      </c>
      <c r="AC342" s="1377" t="s">
        <v>10</v>
      </c>
      <c r="AD342" s="1574">
        <f>'別紙様式2-3（６月以降分）'!AD342</f>
        <v>3</v>
      </c>
      <c r="AE342" s="1377" t="s">
        <v>2172</v>
      </c>
      <c r="AF342" s="1377" t="s">
        <v>24</v>
      </c>
      <c r="AG342" s="1377">
        <f>IF(X342&gt;=1,(AB342*12+AD342)-(X342*12+Z342)+1,"")</f>
        <v>10</v>
      </c>
      <c r="AH342" s="1379" t="s">
        <v>38</v>
      </c>
      <c r="AI342" s="1381"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315"/>
      <c r="B343" s="1301"/>
      <c r="C343" s="1302"/>
      <c r="D343" s="1302"/>
      <c r="E343" s="1302"/>
      <c r="F343" s="1303"/>
      <c r="G343" s="1268"/>
      <c r="H343" s="1268"/>
      <c r="I343" s="1268"/>
      <c r="J343" s="1443"/>
      <c r="K343" s="1268"/>
      <c r="L343" s="1454"/>
      <c r="M343" s="1463"/>
      <c r="N343" s="1399" t="str">
        <f>IF('別紙様式2-2（４・５月分）'!Q261="","",'別紙様式2-2（４・５月分）'!Q261)</f>
        <v/>
      </c>
      <c r="O343" s="1420"/>
      <c r="P343" s="1426"/>
      <c r="Q343" s="1427"/>
      <c r="R343" s="1428"/>
      <c r="S343" s="1430"/>
      <c r="T343" s="1432"/>
      <c r="U343" s="1577"/>
      <c r="V343" s="1436"/>
      <c r="W343" s="1438"/>
      <c r="X343" s="1575"/>
      <c r="Y343" s="1378"/>
      <c r="Z343" s="1575"/>
      <c r="AA343" s="1378"/>
      <c r="AB343" s="1575"/>
      <c r="AC343" s="1378"/>
      <c r="AD343" s="1575"/>
      <c r="AE343" s="1378"/>
      <c r="AF343" s="1378"/>
      <c r="AG343" s="1378"/>
      <c r="AH343" s="1380"/>
      <c r="AI343" s="1382"/>
      <c r="AJ343" s="1569"/>
      <c r="AK343" s="1571"/>
      <c r="AL343" s="1573"/>
      <c r="AM343" s="1564"/>
      <c r="AN343" s="1566"/>
      <c r="AO343" s="1394"/>
      <c r="AP343" s="1567"/>
      <c r="AQ343" s="1394"/>
      <c r="AR343" s="1536"/>
      <c r="AS343" s="1539"/>
      <c r="AT343" s="1537" t="str">
        <f t="shared" ref="AT343" si="322">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1"/>
      <c r="C344" s="1302"/>
      <c r="D344" s="1302"/>
      <c r="E344" s="1302"/>
      <c r="F344" s="1303"/>
      <c r="G344" s="1268"/>
      <c r="H344" s="1268"/>
      <c r="I344" s="1268"/>
      <c r="J344" s="1443"/>
      <c r="K344" s="1268"/>
      <c r="L344" s="1454"/>
      <c r="M344" s="1463"/>
      <c r="N344" s="1400"/>
      <c r="O344" s="1421"/>
      <c r="P344" s="1401" t="s">
        <v>2179</v>
      </c>
      <c r="Q344" s="1460" t="str">
        <f>IFERROR(VLOOKUP('別紙様式2-2（４・５月分）'!AR260,【参考】数式用!$AT$5:$AV$22,3,FALSE),"")</f>
        <v/>
      </c>
      <c r="R344" s="1405" t="s">
        <v>2190</v>
      </c>
      <c r="S344" s="1407" t="str">
        <f>IFERROR(VLOOKUP(K342,【参考】数式用!$A$5:$AB$27,MATCH(Q344,【参考】数式用!$B$4:$AB$4,0)+1,0),"")</f>
        <v/>
      </c>
      <c r="T344" s="1409" t="s">
        <v>2267</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2172</v>
      </c>
      <c r="AF344" s="1397" t="s">
        <v>24</v>
      </c>
      <c r="AG344" s="1397" t="str">
        <f>IF(X344&gt;=1,(AB344*12+AD344)-(X344*12+Z344)+1,"")</f>
        <v/>
      </c>
      <c r="AH344" s="1365" t="s">
        <v>38</v>
      </c>
      <c r="AI344" s="1489" t="str">
        <f t="shared" ref="AI344" si="323">IFERROR(ROUNDDOWN(ROUND(L342*V344,0)*M342,0)*AG344,"")</f>
        <v/>
      </c>
      <c r="AJ344" s="1553" t="str">
        <f>IFERROR(ROUNDDOWN(ROUND((L342*(V344-AX342)),0)*M342,0)*AG344,"")</f>
        <v/>
      </c>
      <c r="AK344" s="1371"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IF(AND(AB342&lt;&gt;7,AD342&lt;&gt;3),"V列に色付け","")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316"/>
      <c r="B345" s="1439"/>
      <c r="C345" s="1440"/>
      <c r="D345" s="1440"/>
      <c r="E345" s="1440"/>
      <c r="F345" s="1441"/>
      <c r="G345" s="1269"/>
      <c r="H345" s="1269"/>
      <c r="I345" s="1269"/>
      <c r="J345" s="1444"/>
      <c r="K345" s="1269"/>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66"/>
      <c r="AI345" s="1490"/>
      <c r="AJ345" s="1554"/>
      <c r="AK345" s="1372"/>
      <c r="AL345" s="1556"/>
      <c r="AM345" s="1558"/>
      <c r="AN345" s="1550"/>
      <c r="AO345" s="1530"/>
      <c r="AP345" s="1552"/>
      <c r="AQ345" s="1530"/>
      <c r="AR345" s="1532"/>
      <c r="AS345" s="153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43"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2258</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7" t="s">
        <v>10</v>
      </c>
      <c r="Z346" s="1574">
        <f>'別紙様式2-3（６月以降分）'!Z346</f>
        <v>6</v>
      </c>
      <c r="AA346" s="1377" t="s">
        <v>45</v>
      </c>
      <c r="AB346" s="1574">
        <f>'別紙様式2-3（６月以降分）'!AB346</f>
        <v>7</v>
      </c>
      <c r="AC346" s="1377" t="s">
        <v>10</v>
      </c>
      <c r="AD346" s="1574">
        <f>'別紙様式2-3（６月以降分）'!AD346</f>
        <v>3</v>
      </c>
      <c r="AE346" s="1377" t="s">
        <v>2172</v>
      </c>
      <c r="AF346" s="1377" t="s">
        <v>24</v>
      </c>
      <c r="AG346" s="1377">
        <f>IF(X346&gt;=1,(AB346*12+AD346)-(X346*12+Z346)+1,"")</f>
        <v>10</v>
      </c>
      <c r="AH346" s="1379" t="s">
        <v>38</v>
      </c>
      <c r="AI346" s="1381"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315"/>
      <c r="B347" s="1301"/>
      <c r="C347" s="1302"/>
      <c r="D347" s="1302"/>
      <c r="E347" s="1302"/>
      <c r="F347" s="1303"/>
      <c r="G347" s="1268"/>
      <c r="H347" s="1268"/>
      <c r="I347" s="1268"/>
      <c r="J347" s="1443"/>
      <c r="K347" s="1268"/>
      <c r="L347" s="1454"/>
      <c r="M347" s="1456"/>
      <c r="N347" s="1399" t="str">
        <f>IF('別紙様式2-2（４・５月分）'!Q264="","",'別紙様式2-2（４・５月分）'!Q264)</f>
        <v/>
      </c>
      <c r="O347" s="1420"/>
      <c r="P347" s="1426"/>
      <c r="Q347" s="1427"/>
      <c r="R347" s="1428"/>
      <c r="S347" s="1430"/>
      <c r="T347" s="1432"/>
      <c r="U347" s="1577"/>
      <c r="V347" s="1436"/>
      <c r="W347" s="1438"/>
      <c r="X347" s="1575"/>
      <c r="Y347" s="1378"/>
      <c r="Z347" s="1575"/>
      <c r="AA347" s="1378"/>
      <c r="AB347" s="1575"/>
      <c r="AC347" s="1378"/>
      <c r="AD347" s="1575"/>
      <c r="AE347" s="1378"/>
      <c r="AF347" s="1378"/>
      <c r="AG347" s="1378"/>
      <c r="AH347" s="1380"/>
      <c r="AI347" s="1382"/>
      <c r="AJ347" s="1569"/>
      <c r="AK347" s="1571"/>
      <c r="AL347" s="1573"/>
      <c r="AM347" s="1564"/>
      <c r="AN347" s="1566"/>
      <c r="AO347" s="1394"/>
      <c r="AP347" s="1567"/>
      <c r="AQ347" s="1394"/>
      <c r="AR347" s="1536"/>
      <c r="AS347" s="1539"/>
      <c r="AT347" s="1537" t="str">
        <f t="shared" ref="AT347" si="326">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1"/>
      <c r="C348" s="1302"/>
      <c r="D348" s="1302"/>
      <c r="E348" s="1302"/>
      <c r="F348" s="1303"/>
      <c r="G348" s="1268"/>
      <c r="H348" s="1268"/>
      <c r="I348" s="1268"/>
      <c r="J348" s="1443"/>
      <c r="K348" s="1268"/>
      <c r="L348" s="1454"/>
      <c r="M348" s="1456"/>
      <c r="N348" s="1400"/>
      <c r="O348" s="1421"/>
      <c r="P348" s="1401" t="s">
        <v>2179</v>
      </c>
      <c r="Q348" s="1460" t="str">
        <f>IFERROR(VLOOKUP('別紙様式2-2（４・５月分）'!AR263,【参考】数式用!$AT$5:$AV$22,3,FALSE),"")</f>
        <v/>
      </c>
      <c r="R348" s="1405" t="s">
        <v>2190</v>
      </c>
      <c r="S348" s="1447" t="str">
        <f>IFERROR(VLOOKUP(K346,【参考】数式用!$A$5:$AB$27,MATCH(Q348,【参考】数式用!$B$4:$AB$4,0)+1,0),"")</f>
        <v/>
      </c>
      <c r="T348" s="1409" t="s">
        <v>2267</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2172</v>
      </c>
      <c r="AF348" s="1397" t="s">
        <v>24</v>
      </c>
      <c r="AG348" s="1397" t="str">
        <f>IF(X348&gt;=1,(AB348*12+AD348)-(X348*12+Z348)+1,"")</f>
        <v/>
      </c>
      <c r="AH348" s="1365" t="s">
        <v>38</v>
      </c>
      <c r="AI348" s="1489" t="str">
        <f t="shared" ref="AI348" si="327">IFERROR(ROUNDDOWN(ROUND(L346*V348,0)*M346,0)*AG348,"")</f>
        <v/>
      </c>
      <c r="AJ348" s="1553" t="str">
        <f>IFERROR(ROUNDDOWN(ROUND((L346*(V348-AX346)),0)*M346,0)*AG348,"")</f>
        <v/>
      </c>
      <c r="AK348" s="1371"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IF(AND(AB346&lt;&gt;7,AD346&lt;&gt;3),"V列に色付け","")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316"/>
      <c r="B349" s="1439"/>
      <c r="C349" s="1440"/>
      <c r="D349" s="1440"/>
      <c r="E349" s="1440"/>
      <c r="F349" s="1441"/>
      <c r="G349" s="1269"/>
      <c r="H349" s="1269"/>
      <c r="I349" s="1269"/>
      <c r="J349" s="1444"/>
      <c r="K349" s="1269"/>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66"/>
      <c r="AI349" s="1490"/>
      <c r="AJ349" s="1554"/>
      <c r="AK349" s="1372"/>
      <c r="AL349" s="1556"/>
      <c r="AM349" s="1558"/>
      <c r="AN349" s="1550"/>
      <c r="AO349" s="1530"/>
      <c r="AP349" s="1552"/>
      <c r="AQ349" s="1530"/>
      <c r="AR349" s="1532"/>
      <c r="AS349" s="153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314">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42" t="str">
        <f>IF(基本情報入力シート!X138="","",基本情報入力シート!X138)</f>
        <v/>
      </c>
      <c r="K350" s="1267"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2258</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7" t="s">
        <v>10</v>
      </c>
      <c r="Z350" s="1574">
        <f>'別紙様式2-3（６月以降分）'!Z350</f>
        <v>6</v>
      </c>
      <c r="AA350" s="1377" t="s">
        <v>45</v>
      </c>
      <c r="AB350" s="1574">
        <f>'別紙様式2-3（６月以降分）'!AB350</f>
        <v>7</v>
      </c>
      <c r="AC350" s="1377" t="s">
        <v>10</v>
      </c>
      <c r="AD350" s="1574">
        <f>'別紙様式2-3（６月以降分）'!AD350</f>
        <v>3</v>
      </c>
      <c r="AE350" s="1377" t="s">
        <v>2172</v>
      </c>
      <c r="AF350" s="1377" t="s">
        <v>24</v>
      </c>
      <c r="AG350" s="1377">
        <f>IF(X350&gt;=1,(AB350*12+AD350)-(X350*12+Z350)+1,"")</f>
        <v>10</v>
      </c>
      <c r="AH350" s="1379" t="s">
        <v>38</v>
      </c>
      <c r="AI350" s="1381"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315"/>
      <c r="B351" s="1301"/>
      <c r="C351" s="1302"/>
      <c r="D351" s="1302"/>
      <c r="E351" s="1302"/>
      <c r="F351" s="1303"/>
      <c r="G351" s="1268"/>
      <c r="H351" s="1268"/>
      <c r="I351" s="1268"/>
      <c r="J351" s="1443"/>
      <c r="K351" s="1268"/>
      <c r="L351" s="1454"/>
      <c r="M351" s="1463"/>
      <c r="N351" s="1399" t="str">
        <f>IF('別紙様式2-2（４・５月分）'!Q267="","",'別紙様式2-2（４・５月分）'!Q267)</f>
        <v/>
      </c>
      <c r="O351" s="1420"/>
      <c r="P351" s="1426"/>
      <c r="Q351" s="1427"/>
      <c r="R351" s="1428"/>
      <c r="S351" s="1430"/>
      <c r="T351" s="1432"/>
      <c r="U351" s="1577"/>
      <c r="V351" s="1436"/>
      <c r="W351" s="1438"/>
      <c r="X351" s="1575"/>
      <c r="Y351" s="1378"/>
      <c r="Z351" s="1575"/>
      <c r="AA351" s="1378"/>
      <c r="AB351" s="1575"/>
      <c r="AC351" s="1378"/>
      <c r="AD351" s="1575"/>
      <c r="AE351" s="1378"/>
      <c r="AF351" s="1378"/>
      <c r="AG351" s="1378"/>
      <c r="AH351" s="1380"/>
      <c r="AI351" s="1382"/>
      <c r="AJ351" s="1569"/>
      <c r="AK351" s="1571"/>
      <c r="AL351" s="1573"/>
      <c r="AM351" s="1564"/>
      <c r="AN351" s="1566"/>
      <c r="AO351" s="1394"/>
      <c r="AP351" s="1567"/>
      <c r="AQ351" s="1394"/>
      <c r="AR351" s="1536"/>
      <c r="AS351" s="1539"/>
      <c r="AT351" s="1537" t="str">
        <f t="shared" ref="AT351" si="330">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1"/>
      <c r="C352" s="1302"/>
      <c r="D352" s="1302"/>
      <c r="E352" s="1302"/>
      <c r="F352" s="1303"/>
      <c r="G352" s="1268"/>
      <c r="H352" s="1268"/>
      <c r="I352" s="1268"/>
      <c r="J352" s="1443"/>
      <c r="K352" s="1268"/>
      <c r="L352" s="1454"/>
      <c r="M352" s="1463"/>
      <c r="N352" s="1400"/>
      <c r="O352" s="1421"/>
      <c r="P352" s="1401" t="s">
        <v>2179</v>
      </c>
      <c r="Q352" s="1460" t="str">
        <f>IFERROR(VLOOKUP('別紙様式2-2（４・５月分）'!AR266,【参考】数式用!$AT$5:$AV$22,3,FALSE),"")</f>
        <v/>
      </c>
      <c r="R352" s="1405" t="s">
        <v>2190</v>
      </c>
      <c r="S352" s="1407" t="str">
        <f>IFERROR(VLOOKUP(K350,【参考】数式用!$A$5:$AB$27,MATCH(Q352,【参考】数式用!$B$4:$AB$4,0)+1,0),"")</f>
        <v/>
      </c>
      <c r="T352" s="1409" t="s">
        <v>2267</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2172</v>
      </c>
      <c r="AF352" s="1397" t="s">
        <v>24</v>
      </c>
      <c r="AG352" s="1397" t="str">
        <f>IF(X352&gt;=1,(AB352*12+AD352)-(X352*12+Z352)+1,"")</f>
        <v/>
      </c>
      <c r="AH352" s="1365" t="s">
        <v>38</v>
      </c>
      <c r="AI352" s="1489" t="str">
        <f t="shared" ref="AI352" si="331">IFERROR(ROUNDDOWN(ROUND(L350*V352,0)*M350,0)*AG352,"")</f>
        <v/>
      </c>
      <c r="AJ352" s="1553" t="str">
        <f>IFERROR(ROUNDDOWN(ROUND((L350*(V352-AX350)),0)*M350,0)*AG352,"")</f>
        <v/>
      </c>
      <c r="AK352" s="1371"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IF(AND(AB350&lt;&gt;7,AD350&lt;&gt;3),"V列に色付け","")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316"/>
      <c r="B353" s="1439"/>
      <c r="C353" s="1440"/>
      <c r="D353" s="1440"/>
      <c r="E353" s="1440"/>
      <c r="F353" s="1441"/>
      <c r="G353" s="1269"/>
      <c r="H353" s="1269"/>
      <c r="I353" s="1269"/>
      <c r="J353" s="1444"/>
      <c r="K353" s="1269"/>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66"/>
      <c r="AI353" s="1490"/>
      <c r="AJ353" s="1554"/>
      <c r="AK353" s="1372"/>
      <c r="AL353" s="1556"/>
      <c r="AM353" s="1558"/>
      <c r="AN353" s="1550"/>
      <c r="AO353" s="1530"/>
      <c r="AP353" s="1552"/>
      <c r="AQ353" s="1530"/>
      <c r="AR353" s="1532"/>
      <c r="AS353" s="153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43"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2258</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7" t="s">
        <v>10</v>
      </c>
      <c r="Z354" s="1574">
        <f>'別紙様式2-3（６月以降分）'!Z354</f>
        <v>6</v>
      </c>
      <c r="AA354" s="1377" t="s">
        <v>45</v>
      </c>
      <c r="AB354" s="1574">
        <f>'別紙様式2-3（６月以降分）'!AB354</f>
        <v>7</v>
      </c>
      <c r="AC354" s="1377" t="s">
        <v>10</v>
      </c>
      <c r="AD354" s="1574">
        <f>'別紙様式2-3（６月以降分）'!AD354</f>
        <v>3</v>
      </c>
      <c r="AE354" s="1377" t="s">
        <v>2172</v>
      </c>
      <c r="AF354" s="1377" t="s">
        <v>24</v>
      </c>
      <c r="AG354" s="1377">
        <f>IF(X354&gt;=1,(AB354*12+AD354)-(X354*12+Z354)+1,"")</f>
        <v>10</v>
      </c>
      <c r="AH354" s="1379" t="s">
        <v>38</v>
      </c>
      <c r="AI354" s="1381"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315"/>
      <c r="B355" s="1301"/>
      <c r="C355" s="1302"/>
      <c r="D355" s="1302"/>
      <c r="E355" s="1302"/>
      <c r="F355" s="1303"/>
      <c r="G355" s="1268"/>
      <c r="H355" s="1268"/>
      <c r="I355" s="1268"/>
      <c r="J355" s="1443"/>
      <c r="K355" s="1268"/>
      <c r="L355" s="1454"/>
      <c r="M355" s="1456"/>
      <c r="N355" s="1399" t="str">
        <f>IF('別紙様式2-2（４・５月分）'!Q270="","",'別紙様式2-2（４・５月分）'!Q270)</f>
        <v/>
      </c>
      <c r="O355" s="1420"/>
      <c r="P355" s="1426"/>
      <c r="Q355" s="1427"/>
      <c r="R355" s="1428"/>
      <c r="S355" s="1430"/>
      <c r="T355" s="1432"/>
      <c r="U355" s="1577"/>
      <c r="V355" s="1436"/>
      <c r="W355" s="1438"/>
      <c r="X355" s="1575"/>
      <c r="Y355" s="1378"/>
      <c r="Z355" s="1575"/>
      <c r="AA355" s="1378"/>
      <c r="AB355" s="1575"/>
      <c r="AC355" s="1378"/>
      <c r="AD355" s="1575"/>
      <c r="AE355" s="1378"/>
      <c r="AF355" s="1378"/>
      <c r="AG355" s="1378"/>
      <c r="AH355" s="1380"/>
      <c r="AI355" s="1382"/>
      <c r="AJ355" s="1569"/>
      <c r="AK355" s="1571"/>
      <c r="AL355" s="1573"/>
      <c r="AM355" s="1564"/>
      <c r="AN355" s="1566"/>
      <c r="AO355" s="1394"/>
      <c r="AP355" s="1567"/>
      <c r="AQ355" s="1394"/>
      <c r="AR355" s="1536"/>
      <c r="AS355" s="1539"/>
      <c r="AT355" s="1537" t="str">
        <f t="shared" ref="AT355" si="334">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1"/>
      <c r="C356" s="1302"/>
      <c r="D356" s="1302"/>
      <c r="E356" s="1302"/>
      <c r="F356" s="1303"/>
      <c r="G356" s="1268"/>
      <c r="H356" s="1268"/>
      <c r="I356" s="1268"/>
      <c r="J356" s="1443"/>
      <c r="K356" s="1268"/>
      <c r="L356" s="1454"/>
      <c r="M356" s="1456"/>
      <c r="N356" s="1400"/>
      <c r="O356" s="1421"/>
      <c r="P356" s="1401" t="s">
        <v>2179</v>
      </c>
      <c r="Q356" s="1460" t="str">
        <f>IFERROR(VLOOKUP('別紙様式2-2（４・５月分）'!AR269,【参考】数式用!$AT$5:$AV$22,3,FALSE),"")</f>
        <v/>
      </c>
      <c r="R356" s="1405" t="s">
        <v>2190</v>
      </c>
      <c r="S356" s="1447" t="str">
        <f>IFERROR(VLOOKUP(K354,【参考】数式用!$A$5:$AB$27,MATCH(Q356,【参考】数式用!$B$4:$AB$4,0)+1,0),"")</f>
        <v/>
      </c>
      <c r="T356" s="1409" t="s">
        <v>2267</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2172</v>
      </c>
      <c r="AF356" s="1397" t="s">
        <v>24</v>
      </c>
      <c r="AG356" s="1397" t="str">
        <f>IF(X356&gt;=1,(AB356*12+AD356)-(X356*12+Z356)+1,"")</f>
        <v/>
      </c>
      <c r="AH356" s="1365" t="s">
        <v>38</v>
      </c>
      <c r="AI356" s="1489" t="str">
        <f t="shared" ref="AI356" si="335">IFERROR(ROUNDDOWN(ROUND(L354*V356,0)*M354,0)*AG356,"")</f>
        <v/>
      </c>
      <c r="AJ356" s="1553" t="str">
        <f>IFERROR(ROUNDDOWN(ROUND((L354*(V356-AX354)),0)*M354,0)*AG356,"")</f>
        <v/>
      </c>
      <c r="AK356" s="1371"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IF(AND(AB354&lt;&gt;7,AD354&lt;&gt;3),"V列に色付け","")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316"/>
      <c r="B357" s="1439"/>
      <c r="C357" s="1440"/>
      <c r="D357" s="1440"/>
      <c r="E357" s="1440"/>
      <c r="F357" s="1441"/>
      <c r="G357" s="1269"/>
      <c r="H357" s="1269"/>
      <c r="I357" s="1269"/>
      <c r="J357" s="1444"/>
      <c r="K357" s="1269"/>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66"/>
      <c r="AI357" s="1490"/>
      <c r="AJ357" s="1554"/>
      <c r="AK357" s="1372"/>
      <c r="AL357" s="1556"/>
      <c r="AM357" s="1558"/>
      <c r="AN357" s="1550"/>
      <c r="AO357" s="1530"/>
      <c r="AP357" s="1552"/>
      <c r="AQ357" s="1530"/>
      <c r="AR357" s="1532"/>
      <c r="AS357" s="153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314">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42" t="str">
        <f>IF(基本情報入力シート!X140="","",基本情報入力シート!X140)</f>
        <v/>
      </c>
      <c r="K358" s="1267"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2258</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7" t="s">
        <v>10</v>
      </c>
      <c r="Z358" s="1574">
        <f>'別紙様式2-3（６月以降分）'!Z358</f>
        <v>6</v>
      </c>
      <c r="AA358" s="1377" t="s">
        <v>45</v>
      </c>
      <c r="AB358" s="1574">
        <f>'別紙様式2-3（６月以降分）'!AB358</f>
        <v>7</v>
      </c>
      <c r="AC358" s="1377" t="s">
        <v>10</v>
      </c>
      <c r="AD358" s="1574">
        <f>'別紙様式2-3（６月以降分）'!AD358</f>
        <v>3</v>
      </c>
      <c r="AE358" s="1377" t="s">
        <v>2172</v>
      </c>
      <c r="AF358" s="1377" t="s">
        <v>24</v>
      </c>
      <c r="AG358" s="1377">
        <f>IF(X358&gt;=1,(AB358*12+AD358)-(X358*12+Z358)+1,"")</f>
        <v>10</v>
      </c>
      <c r="AH358" s="1379" t="s">
        <v>38</v>
      </c>
      <c r="AI358" s="1381"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315"/>
      <c r="B359" s="1301"/>
      <c r="C359" s="1302"/>
      <c r="D359" s="1302"/>
      <c r="E359" s="1302"/>
      <c r="F359" s="1303"/>
      <c r="G359" s="1268"/>
      <c r="H359" s="1268"/>
      <c r="I359" s="1268"/>
      <c r="J359" s="1443"/>
      <c r="K359" s="1268"/>
      <c r="L359" s="1454"/>
      <c r="M359" s="1463"/>
      <c r="N359" s="1399" t="str">
        <f>IF('別紙様式2-2（４・５月分）'!Q273="","",'別紙様式2-2（４・５月分）'!Q273)</f>
        <v/>
      </c>
      <c r="O359" s="1420"/>
      <c r="P359" s="1426"/>
      <c r="Q359" s="1427"/>
      <c r="R359" s="1428"/>
      <c r="S359" s="1430"/>
      <c r="T359" s="1432"/>
      <c r="U359" s="1577"/>
      <c r="V359" s="1436"/>
      <c r="W359" s="1438"/>
      <c r="X359" s="1575"/>
      <c r="Y359" s="1378"/>
      <c r="Z359" s="1575"/>
      <c r="AA359" s="1378"/>
      <c r="AB359" s="1575"/>
      <c r="AC359" s="1378"/>
      <c r="AD359" s="1575"/>
      <c r="AE359" s="1378"/>
      <c r="AF359" s="1378"/>
      <c r="AG359" s="1378"/>
      <c r="AH359" s="1380"/>
      <c r="AI359" s="1382"/>
      <c r="AJ359" s="1569"/>
      <c r="AK359" s="1571"/>
      <c r="AL359" s="1573"/>
      <c r="AM359" s="1564"/>
      <c r="AN359" s="1566"/>
      <c r="AO359" s="1394"/>
      <c r="AP359" s="1567"/>
      <c r="AQ359" s="1394"/>
      <c r="AR359" s="1536"/>
      <c r="AS359" s="1539"/>
      <c r="AT359" s="1537" t="str">
        <f t="shared" ref="AT359" si="338">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1"/>
      <c r="C360" s="1302"/>
      <c r="D360" s="1302"/>
      <c r="E360" s="1302"/>
      <c r="F360" s="1303"/>
      <c r="G360" s="1268"/>
      <c r="H360" s="1268"/>
      <c r="I360" s="1268"/>
      <c r="J360" s="1443"/>
      <c r="K360" s="1268"/>
      <c r="L360" s="1454"/>
      <c r="M360" s="1463"/>
      <c r="N360" s="1400"/>
      <c r="O360" s="1421"/>
      <c r="P360" s="1401" t="s">
        <v>2179</v>
      </c>
      <c r="Q360" s="1460" t="str">
        <f>IFERROR(VLOOKUP('別紙様式2-2（４・５月分）'!AR272,【参考】数式用!$AT$5:$AV$22,3,FALSE),"")</f>
        <v/>
      </c>
      <c r="R360" s="1405" t="s">
        <v>2190</v>
      </c>
      <c r="S360" s="1407" t="str">
        <f>IFERROR(VLOOKUP(K358,【参考】数式用!$A$5:$AB$27,MATCH(Q360,【参考】数式用!$B$4:$AB$4,0)+1,0),"")</f>
        <v/>
      </c>
      <c r="T360" s="1409" t="s">
        <v>2267</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2172</v>
      </c>
      <c r="AF360" s="1397" t="s">
        <v>24</v>
      </c>
      <c r="AG360" s="1397" t="str">
        <f>IF(X360&gt;=1,(AB360*12+AD360)-(X360*12+Z360)+1,"")</f>
        <v/>
      </c>
      <c r="AH360" s="1365" t="s">
        <v>38</v>
      </c>
      <c r="AI360" s="1489" t="str">
        <f t="shared" ref="AI360" si="339">IFERROR(ROUNDDOWN(ROUND(L358*V360,0)*M358,0)*AG360,"")</f>
        <v/>
      </c>
      <c r="AJ360" s="1553" t="str">
        <f>IFERROR(ROUNDDOWN(ROUND((L358*(V360-AX358)),0)*M358,0)*AG360,"")</f>
        <v/>
      </c>
      <c r="AK360" s="1371"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IF(AND(AB358&lt;&gt;7,AD358&lt;&gt;3),"V列に色付け","")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316"/>
      <c r="B361" s="1439"/>
      <c r="C361" s="1440"/>
      <c r="D361" s="1440"/>
      <c r="E361" s="1440"/>
      <c r="F361" s="1441"/>
      <c r="G361" s="1269"/>
      <c r="H361" s="1269"/>
      <c r="I361" s="1269"/>
      <c r="J361" s="1444"/>
      <c r="K361" s="1269"/>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66"/>
      <c r="AI361" s="1490"/>
      <c r="AJ361" s="1554"/>
      <c r="AK361" s="1372"/>
      <c r="AL361" s="1556"/>
      <c r="AM361" s="1558"/>
      <c r="AN361" s="1550"/>
      <c r="AO361" s="1530"/>
      <c r="AP361" s="1552"/>
      <c r="AQ361" s="1530"/>
      <c r="AR361" s="1532"/>
      <c r="AS361" s="153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43"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2258</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7" t="s">
        <v>10</v>
      </c>
      <c r="Z362" s="1574">
        <f>'別紙様式2-3（６月以降分）'!Z362</f>
        <v>6</v>
      </c>
      <c r="AA362" s="1377" t="s">
        <v>45</v>
      </c>
      <c r="AB362" s="1574">
        <f>'別紙様式2-3（６月以降分）'!AB362</f>
        <v>7</v>
      </c>
      <c r="AC362" s="1377" t="s">
        <v>10</v>
      </c>
      <c r="AD362" s="1574">
        <f>'別紙様式2-3（６月以降分）'!AD362</f>
        <v>3</v>
      </c>
      <c r="AE362" s="1377" t="s">
        <v>2172</v>
      </c>
      <c r="AF362" s="1377" t="s">
        <v>24</v>
      </c>
      <c r="AG362" s="1377">
        <f>IF(X362&gt;=1,(AB362*12+AD362)-(X362*12+Z362)+1,"")</f>
        <v>10</v>
      </c>
      <c r="AH362" s="1379" t="s">
        <v>38</v>
      </c>
      <c r="AI362" s="1381"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315"/>
      <c r="B363" s="1301"/>
      <c r="C363" s="1302"/>
      <c r="D363" s="1302"/>
      <c r="E363" s="1302"/>
      <c r="F363" s="1303"/>
      <c r="G363" s="1268"/>
      <c r="H363" s="1268"/>
      <c r="I363" s="1268"/>
      <c r="J363" s="1443"/>
      <c r="K363" s="1268"/>
      <c r="L363" s="1454"/>
      <c r="M363" s="1456"/>
      <c r="N363" s="1399" t="str">
        <f>IF('別紙様式2-2（４・５月分）'!Q276="","",'別紙様式2-2（４・５月分）'!Q276)</f>
        <v/>
      </c>
      <c r="O363" s="1420"/>
      <c r="P363" s="1426"/>
      <c r="Q363" s="1427"/>
      <c r="R363" s="1428"/>
      <c r="S363" s="1430"/>
      <c r="T363" s="1432"/>
      <c r="U363" s="1577"/>
      <c r="V363" s="1436"/>
      <c r="W363" s="1438"/>
      <c r="X363" s="1575"/>
      <c r="Y363" s="1378"/>
      <c r="Z363" s="1575"/>
      <c r="AA363" s="1378"/>
      <c r="AB363" s="1575"/>
      <c r="AC363" s="1378"/>
      <c r="AD363" s="1575"/>
      <c r="AE363" s="1378"/>
      <c r="AF363" s="1378"/>
      <c r="AG363" s="1378"/>
      <c r="AH363" s="1380"/>
      <c r="AI363" s="1382"/>
      <c r="AJ363" s="1569"/>
      <c r="AK363" s="1571"/>
      <c r="AL363" s="1573"/>
      <c r="AM363" s="1564"/>
      <c r="AN363" s="1566"/>
      <c r="AO363" s="1394"/>
      <c r="AP363" s="1567"/>
      <c r="AQ363" s="1394"/>
      <c r="AR363" s="1536"/>
      <c r="AS363" s="1539"/>
      <c r="AT363" s="1537" t="str">
        <f t="shared" ref="AT363" si="342">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1"/>
      <c r="C364" s="1302"/>
      <c r="D364" s="1302"/>
      <c r="E364" s="1302"/>
      <c r="F364" s="1303"/>
      <c r="G364" s="1268"/>
      <c r="H364" s="1268"/>
      <c r="I364" s="1268"/>
      <c r="J364" s="1443"/>
      <c r="K364" s="1268"/>
      <c r="L364" s="1454"/>
      <c r="M364" s="1456"/>
      <c r="N364" s="1400"/>
      <c r="O364" s="1421"/>
      <c r="P364" s="1401" t="s">
        <v>2179</v>
      </c>
      <c r="Q364" s="1460" t="str">
        <f>IFERROR(VLOOKUP('別紙様式2-2（４・５月分）'!AR275,【参考】数式用!$AT$5:$AV$22,3,FALSE),"")</f>
        <v/>
      </c>
      <c r="R364" s="1405" t="s">
        <v>2190</v>
      </c>
      <c r="S364" s="1447" t="str">
        <f>IFERROR(VLOOKUP(K362,【参考】数式用!$A$5:$AB$27,MATCH(Q364,【参考】数式用!$B$4:$AB$4,0)+1,0),"")</f>
        <v/>
      </c>
      <c r="T364" s="1409" t="s">
        <v>2267</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2172</v>
      </c>
      <c r="AF364" s="1397" t="s">
        <v>24</v>
      </c>
      <c r="AG364" s="1397" t="str">
        <f>IF(X364&gt;=1,(AB364*12+AD364)-(X364*12+Z364)+1,"")</f>
        <v/>
      </c>
      <c r="AH364" s="1365" t="s">
        <v>38</v>
      </c>
      <c r="AI364" s="1489" t="str">
        <f t="shared" ref="AI364" si="343">IFERROR(ROUNDDOWN(ROUND(L362*V364,0)*M362,0)*AG364,"")</f>
        <v/>
      </c>
      <c r="AJ364" s="1553" t="str">
        <f>IFERROR(ROUNDDOWN(ROUND((L362*(V364-AX362)),0)*M362,0)*AG364,"")</f>
        <v/>
      </c>
      <c r="AK364" s="1371"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IF(AND(AB362&lt;&gt;7,AD362&lt;&gt;3),"V列に色付け","")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316"/>
      <c r="B365" s="1439"/>
      <c r="C365" s="1440"/>
      <c r="D365" s="1440"/>
      <c r="E365" s="1440"/>
      <c r="F365" s="1441"/>
      <c r="G365" s="1269"/>
      <c r="H365" s="1269"/>
      <c r="I365" s="1269"/>
      <c r="J365" s="1444"/>
      <c r="K365" s="1269"/>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66"/>
      <c r="AI365" s="1490"/>
      <c r="AJ365" s="1554"/>
      <c r="AK365" s="1372"/>
      <c r="AL365" s="1556"/>
      <c r="AM365" s="1558"/>
      <c r="AN365" s="1550"/>
      <c r="AO365" s="1530"/>
      <c r="AP365" s="1552"/>
      <c r="AQ365" s="1530"/>
      <c r="AR365" s="1532"/>
      <c r="AS365" s="153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314">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42" t="str">
        <f>IF(基本情報入力シート!X142="","",基本情報入力シート!X142)</f>
        <v/>
      </c>
      <c r="K366" s="1267"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2258</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7" t="s">
        <v>10</v>
      </c>
      <c r="Z366" s="1574">
        <f>'別紙様式2-3（６月以降分）'!Z366</f>
        <v>6</v>
      </c>
      <c r="AA366" s="1377" t="s">
        <v>45</v>
      </c>
      <c r="AB366" s="1574">
        <f>'別紙様式2-3（６月以降分）'!AB366</f>
        <v>7</v>
      </c>
      <c r="AC366" s="1377" t="s">
        <v>10</v>
      </c>
      <c r="AD366" s="1574">
        <f>'別紙様式2-3（６月以降分）'!AD366</f>
        <v>3</v>
      </c>
      <c r="AE366" s="1377" t="s">
        <v>2172</v>
      </c>
      <c r="AF366" s="1377" t="s">
        <v>24</v>
      </c>
      <c r="AG366" s="1377">
        <f>IF(X366&gt;=1,(AB366*12+AD366)-(X366*12+Z366)+1,"")</f>
        <v>10</v>
      </c>
      <c r="AH366" s="1379" t="s">
        <v>38</v>
      </c>
      <c r="AI366" s="1381"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315"/>
      <c r="B367" s="1301"/>
      <c r="C367" s="1302"/>
      <c r="D367" s="1302"/>
      <c r="E367" s="1302"/>
      <c r="F367" s="1303"/>
      <c r="G367" s="1268"/>
      <c r="H367" s="1268"/>
      <c r="I367" s="1268"/>
      <c r="J367" s="1443"/>
      <c r="K367" s="1268"/>
      <c r="L367" s="1454"/>
      <c r="M367" s="1463"/>
      <c r="N367" s="1399" t="str">
        <f>IF('別紙様式2-2（４・５月分）'!Q279="","",'別紙様式2-2（４・５月分）'!Q279)</f>
        <v/>
      </c>
      <c r="O367" s="1420"/>
      <c r="P367" s="1426"/>
      <c r="Q367" s="1427"/>
      <c r="R367" s="1428"/>
      <c r="S367" s="1430"/>
      <c r="T367" s="1432"/>
      <c r="U367" s="1577"/>
      <c r="V367" s="1436"/>
      <c r="W367" s="1438"/>
      <c r="X367" s="1575"/>
      <c r="Y367" s="1378"/>
      <c r="Z367" s="1575"/>
      <c r="AA367" s="1378"/>
      <c r="AB367" s="1575"/>
      <c r="AC367" s="1378"/>
      <c r="AD367" s="1575"/>
      <c r="AE367" s="1378"/>
      <c r="AF367" s="1378"/>
      <c r="AG367" s="1378"/>
      <c r="AH367" s="1380"/>
      <c r="AI367" s="1382"/>
      <c r="AJ367" s="1569"/>
      <c r="AK367" s="1571"/>
      <c r="AL367" s="1573"/>
      <c r="AM367" s="1564"/>
      <c r="AN367" s="1566"/>
      <c r="AO367" s="1394"/>
      <c r="AP367" s="1567"/>
      <c r="AQ367" s="1394"/>
      <c r="AR367" s="1536"/>
      <c r="AS367" s="1539"/>
      <c r="AT367" s="1537" t="str">
        <f t="shared" ref="AT367" si="346">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1"/>
      <c r="C368" s="1302"/>
      <c r="D368" s="1302"/>
      <c r="E368" s="1302"/>
      <c r="F368" s="1303"/>
      <c r="G368" s="1268"/>
      <c r="H368" s="1268"/>
      <c r="I368" s="1268"/>
      <c r="J368" s="1443"/>
      <c r="K368" s="1268"/>
      <c r="L368" s="1454"/>
      <c r="M368" s="1463"/>
      <c r="N368" s="1400"/>
      <c r="O368" s="1421"/>
      <c r="P368" s="1401" t="s">
        <v>2179</v>
      </c>
      <c r="Q368" s="1460" t="str">
        <f>IFERROR(VLOOKUP('別紙様式2-2（４・５月分）'!AR278,【参考】数式用!$AT$5:$AV$22,3,FALSE),"")</f>
        <v/>
      </c>
      <c r="R368" s="1405" t="s">
        <v>2190</v>
      </c>
      <c r="S368" s="1407" t="str">
        <f>IFERROR(VLOOKUP(K366,【参考】数式用!$A$5:$AB$27,MATCH(Q368,【参考】数式用!$B$4:$AB$4,0)+1,0),"")</f>
        <v/>
      </c>
      <c r="T368" s="1409" t="s">
        <v>2267</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2172</v>
      </c>
      <c r="AF368" s="1397" t="s">
        <v>24</v>
      </c>
      <c r="AG368" s="1397" t="str">
        <f>IF(X368&gt;=1,(AB368*12+AD368)-(X368*12+Z368)+1,"")</f>
        <v/>
      </c>
      <c r="AH368" s="1365" t="s">
        <v>38</v>
      </c>
      <c r="AI368" s="1489" t="str">
        <f t="shared" ref="AI368" si="347">IFERROR(ROUNDDOWN(ROUND(L366*V368,0)*M366,0)*AG368,"")</f>
        <v/>
      </c>
      <c r="AJ368" s="1553" t="str">
        <f>IFERROR(ROUNDDOWN(ROUND((L366*(V368-AX366)),0)*M366,0)*AG368,"")</f>
        <v/>
      </c>
      <c r="AK368" s="1371"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IF(AND(AB366&lt;&gt;7,AD366&lt;&gt;3),"V列に色付け","")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316"/>
      <c r="B369" s="1439"/>
      <c r="C369" s="1440"/>
      <c r="D369" s="1440"/>
      <c r="E369" s="1440"/>
      <c r="F369" s="1441"/>
      <c r="G369" s="1269"/>
      <c r="H369" s="1269"/>
      <c r="I369" s="1269"/>
      <c r="J369" s="1444"/>
      <c r="K369" s="1269"/>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66"/>
      <c r="AI369" s="1490"/>
      <c r="AJ369" s="1554"/>
      <c r="AK369" s="1372"/>
      <c r="AL369" s="1556"/>
      <c r="AM369" s="1558"/>
      <c r="AN369" s="1550"/>
      <c r="AO369" s="1530"/>
      <c r="AP369" s="1552"/>
      <c r="AQ369" s="1530"/>
      <c r="AR369" s="1532"/>
      <c r="AS369" s="153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43"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2258</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7" t="s">
        <v>10</v>
      </c>
      <c r="Z370" s="1574">
        <f>'別紙様式2-3（６月以降分）'!Z370</f>
        <v>6</v>
      </c>
      <c r="AA370" s="1377" t="s">
        <v>45</v>
      </c>
      <c r="AB370" s="1574">
        <f>'別紙様式2-3（６月以降分）'!AB370</f>
        <v>7</v>
      </c>
      <c r="AC370" s="1377" t="s">
        <v>10</v>
      </c>
      <c r="AD370" s="1574">
        <f>'別紙様式2-3（６月以降分）'!AD370</f>
        <v>3</v>
      </c>
      <c r="AE370" s="1377" t="s">
        <v>2172</v>
      </c>
      <c r="AF370" s="1377" t="s">
        <v>24</v>
      </c>
      <c r="AG370" s="1377">
        <f>IF(X370&gt;=1,(AB370*12+AD370)-(X370*12+Z370)+1,"")</f>
        <v>10</v>
      </c>
      <c r="AH370" s="1379" t="s">
        <v>38</v>
      </c>
      <c r="AI370" s="1381"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315"/>
      <c r="B371" s="1301"/>
      <c r="C371" s="1302"/>
      <c r="D371" s="1302"/>
      <c r="E371" s="1302"/>
      <c r="F371" s="1303"/>
      <c r="G371" s="1268"/>
      <c r="H371" s="1268"/>
      <c r="I371" s="1268"/>
      <c r="J371" s="1443"/>
      <c r="K371" s="1268"/>
      <c r="L371" s="1454"/>
      <c r="M371" s="1456"/>
      <c r="N371" s="1399" t="str">
        <f>IF('別紙様式2-2（４・５月分）'!Q282="","",'別紙様式2-2（４・５月分）'!Q282)</f>
        <v/>
      </c>
      <c r="O371" s="1420"/>
      <c r="P371" s="1426"/>
      <c r="Q371" s="1427"/>
      <c r="R371" s="1428"/>
      <c r="S371" s="1430"/>
      <c r="T371" s="1432"/>
      <c r="U371" s="1577"/>
      <c r="V371" s="1436"/>
      <c r="W371" s="1438"/>
      <c r="X371" s="1575"/>
      <c r="Y371" s="1378"/>
      <c r="Z371" s="1575"/>
      <c r="AA371" s="1378"/>
      <c r="AB371" s="1575"/>
      <c r="AC371" s="1378"/>
      <c r="AD371" s="1575"/>
      <c r="AE371" s="1378"/>
      <c r="AF371" s="1378"/>
      <c r="AG371" s="1378"/>
      <c r="AH371" s="1380"/>
      <c r="AI371" s="1382"/>
      <c r="AJ371" s="1569"/>
      <c r="AK371" s="1571"/>
      <c r="AL371" s="1573"/>
      <c r="AM371" s="1564"/>
      <c r="AN371" s="1566"/>
      <c r="AO371" s="1394"/>
      <c r="AP371" s="1567"/>
      <c r="AQ371" s="1394"/>
      <c r="AR371" s="1536"/>
      <c r="AS371" s="1539"/>
      <c r="AT371" s="1537" t="str">
        <f t="shared" ref="AT371" si="350">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1"/>
      <c r="C372" s="1302"/>
      <c r="D372" s="1302"/>
      <c r="E372" s="1302"/>
      <c r="F372" s="1303"/>
      <c r="G372" s="1268"/>
      <c r="H372" s="1268"/>
      <c r="I372" s="1268"/>
      <c r="J372" s="1443"/>
      <c r="K372" s="1268"/>
      <c r="L372" s="1454"/>
      <c r="M372" s="1456"/>
      <c r="N372" s="1400"/>
      <c r="O372" s="1421"/>
      <c r="P372" s="1401" t="s">
        <v>2179</v>
      </c>
      <c r="Q372" s="1460" t="str">
        <f>IFERROR(VLOOKUP('別紙様式2-2（４・５月分）'!AR281,【参考】数式用!$AT$5:$AV$22,3,FALSE),"")</f>
        <v/>
      </c>
      <c r="R372" s="1405" t="s">
        <v>2190</v>
      </c>
      <c r="S372" s="1447" t="str">
        <f>IFERROR(VLOOKUP(K370,【参考】数式用!$A$5:$AB$27,MATCH(Q372,【参考】数式用!$B$4:$AB$4,0)+1,0),"")</f>
        <v/>
      </c>
      <c r="T372" s="1409" t="s">
        <v>2267</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2172</v>
      </c>
      <c r="AF372" s="1397" t="s">
        <v>24</v>
      </c>
      <c r="AG372" s="1397" t="str">
        <f>IF(X372&gt;=1,(AB372*12+AD372)-(X372*12+Z372)+1,"")</f>
        <v/>
      </c>
      <c r="AH372" s="1365" t="s">
        <v>38</v>
      </c>
      <c r="AI372" s="1489" t="str">
        <f t="shared" ref="AI372" si="351">IFERROR(ROUNDDOWN(ROUND(L370*V372,0)*M370,0)*AG372,"")</f>
        <v/>
      </c>
      <c r="AJ372" s="1553" t="str">
        <f>IFERROR(ROUNDDOWN(ROUND((L370*(V372-AX370)),0)*M370,0)*AG372,"")</f>
        <v/>
      </c>
      <c r="AK372" s="1371"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IF(AND(AB370&lt;&gt;7,AD370&lt;&gt;3),"V列に色付け","")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316"/>
      <c r="B373" s="1439"/>
      <c r="C373" s="1440"/>
      <c r="D373" s="1440"/>
      <c r="E373" s="1440"/>
      <c r="F373" s="1441"/>
      <c r="G373" s="1269"/>
      <c r="H373" s="1269"/>
      <c r="I373" s="1269"/>
      <c r="J373" s="1444"/>
      <c r="K373" s="1269"/>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66"/>
      <c r="AI373" s="1490"/>
      <c r="AJ373" s="1554"/>
      <c r="AK373" s="1372"/>
      <c r="AL373" s="1556"/>
      <c r="AM373" s="1558"/>
      <c r="AN373" s="1550"/>
      <c r="AO373" s="1530"/>
      <c r="AP373" s="1552"/>
      <c r="AQ373" s="1530"/>
      <c r="AR373" s="1532"/>
      <c r="AS373" s="153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314">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43"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2258</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7" t="s">
        <v>10</v>
      </c>
      <c r="Z374" s="1574">
        <f>'別紙様式2-3（６月以降分）'!Z374</f>
        <v>6</v>
      </c>
      <c r="AA374" s="1377" t="s">
        <v>45</v>
      </c>
      <c r="AB374" s="1574">
        <f>'別紙様式2-3（６月以降分）'!AB374</f>
        <v>7</v>
      </c>
      <c r="AC374" s="1377" t="s">
        <v>10</v>
      </c>
      <c r="AD374" s="1574">
        <f>'別紙様式2-3（６月以降分）'!AD374</f>
        <v>3</v>
      </c>
      <c r="AE374" s="1377" t="s">
        <v>2172</v>
      </c>
      <c r="AF374" s="1377" t="s">
        <v>24</v>
      </c>
      <c r="AG374" s="1377">
        <f>IF(X374&gt;=1,(AB374*12+AD374)-(X374*12+Z374)+1,"")</f>
        <v>10</v>
      </c>
      <c r="AH374" s="1379" t="s">
        <v>38</v>
      </c>
      <c r="AI374" s="1381"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315"/>
      <c r="B375" s="1301"/>
      <c r="C375" s="1302"/>
      <c r="D375" s="1302"/>
      <c r="E375" s="1302"/>
      <c r="F375" s="1303"/>
      <c r="G375" s="1268"/>
      <c r="H375" s="1268"/>
      <c r="I375" s="1268"/>
      <c r="J375" s="1443"/>
      <c r="K375" s="1268"/>
      <c r="L375" s="1454"/>
      <c r="M375" s="1456"/>
      <c r="N375" s="1399" t="str">
        <f>IF('別紙様式2-2（４・５月分）'!Q285="","",'別紙様式2-2（４・５月分）'!Q285)</f>
        <v/>
      </c>
      <c r="O375" s="1420"/>
      <c r="P375" s="1426"/>
      <c r="Q375" s="1427"/>
      <c r="R375" s="1428"/>
      <c r="S375" s="1430"/>
      <c r="T375" s="1432"/>
      <c r="U375" s="1577"/>
      <c r="V375" s="1436"/>
      <c r="W375" s="1438"/>
      <c r="X375" s="1575"/>
      <c r="Y375" s="1378"/>
      <c r="Z375" s="1575"/>
      <c r="AA375" s="1378"/>
      <c r="AB375" s="1575"/>
      <c r="AC375" s="1378"/>
      <c r="AD375" s="1575"/>
      <c r="AE375" s="1378"/>
      <c r="AF375" s="1378"/>
      <c r="AG375" s="1378"/>
      <c r="AH375" s="1380"/>
      <c r="AI375" s="1382"/>
      <c r="AJ375" s="1569"/>
      <c r="AK375" s="1571"/>
      <c r="AL375" s="1573"/>
      <c r="AM375" s="1564"/>
      <c r="AN375" s="1566"/>
      <c r="AO375" s="1394"/>
      <c r="AP375" s="1567"/>
      <c r="AQ375" s="1394"/>
      <c r="AR375" s="1536"/>
      <c r="AS375" s="1539"/>
      <c r="AT375" s="1537" t="str">
        <f t="shared" ref="AT375" si="354">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1"/>
      <c r="C376" s="1302"/>
      <c r="D376" s="1302"/>
      <c r="E376" s="1302"/>
      <c r="F376" s="1303"/>
      <c r="G376" s="1268"/>
      <c r="H376" s="1268"/>
      <c r="I376" s="1268"/>
      <c r="J376" s="1443"/>
      <c r="K376" s="1268"/>
      <c r="L376" s="1454"/>
      <c r="M376" s="1456"/>
      <c r="N376" s="1400"/>
      <c r="O376" s="1421"/>
      <c r="P376" s="1401" t="s">
        <v>2179</v>
      </c>
      <c r="Q376" s="1460" t="str">
        <f>IFERROR(VLOOKUP('別紙様式2-2（４・５月分）'!AR284,【参考】数式用!$AT$5:$AV$22,3,FALSE),"")</f>
        <v/>
      </c>
      <c r="R376" s="1405" t="s">
        <v>2190</v>
      </c>
      <c r="S376" s="1447" t="str">
        <f>IFERROR(VLOOKUP(K374,【参考】数式用!$A$5:$AB$27,MATCH(Q376,【参考】数式用!$B$4:$AB$4,0)+1,0),"")</f>
        <v/>
      </c>
      <c r="T376" s="1409" t="s">
        <v>2267</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2172</v>
      </c>
      <c r="AF376" s="1397" t="s">
        <v>24</v>
      </c>
      <c r="AG376" s="1397" t="str">
        <f>IF(X376&gt;=1,(AB376*12+AD376)-(X376*12+Z376)+1,"")</f>
        <v/>
      </c>
      <c r="AH376" s="1365" t="s">
        <v>38</v>
      </c>
      <c r="AI376" s="1489" t="str">
        <f t="shared" ref="AI376" si="355">IFERROR(ROUNDDOWN(ROUND(L374*V376,0)*M374,0)*AG376,"")</f>
        <v/>
      </c>
      <c r="AJ376" s="1553" t="str">
        <f>IFERROR(ROUNDDOWN(ROUND((L374*(V376-AX374)),0)*M374,0)*AG376,"")</f>
        <v/>
      </c>
      <c r="AK376" s="1371"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IF(AND(AB374&lt;&gt;7,AD374&lt;&gt;3),"V列に色付け","")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316"/>
      <c r="B377" s="1439"/>
      <c r="C377" s="1440"/>
      <c r="D377" s="1440"/>
      <c r="E377" s="1440"/>
      <c r="F377" s="1441"/>
      <c r="G377" s="1269"/>
      <c r="H377" s="1269"/>
      <c r="I377" s="1269"/>
      <c r="J377" s="1444"/>
      <c r="K377" s="1269"/>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66"/>
      <c r="AI377" s="1490"/>
      <c r="AJ377" s="1554"/>
      <c r="AK377" s="1372"/>
      <c r="AL377" s="1556"/>
      <c r="AM377" s="1558"/>
      <c r="AN377" s="1550"/>
      <c r="AO377" s="1530"/>
      <c r="AP377" s="1552"/>
      <c r="AQ377" s="1530"/>
      <c r="AR377" s="1532"/>
      <c r="AS377" s="153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42" t="str">
        <f>IF(基本情報入力シート!X145="","",基本情報入力シート!X145)</f>
        <v/>
      </c>
      <c r="K378" s="1267"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2258</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7" t="s">
        <v>10</v>
      </c>
      <c r="Z378" s="1574">
        <f>'別紙様式2-3（６月以降分）'!Z378</f>
        <v>6</v>
      </c>
      <c r="AA378" s="1377" t="s">
        <v>45</v>
      </c>
      <c r="AB378" s="1574">
        <f>'別紙様式2-3（６月以降分）'!AB378</f>
        <v>7</v>
      </c>
      <c r="AC378" s="1377" t="s">
        <v>10</v>
      </c>
      <c r="AD378" s="1574">
        <f>'別紙様式2-3（６月以降分）'!AD378</f>
        <v>3</v>
      </c>
      <c r="AE378" s="1377" t="s">
        <v>2172</v>
      </c>
      <c r="AF378" s="1377" t="s">
        <v>24</v>
      </c>
      <c r="AG378" s="1377">
        <f>IF(X378&gt;=1,(AB378*12+AD378)-(X378*12+Z378)+1,"")</f>
        <v>10</v>
      </c>
      <c r="AH378" s="1379" t="s">
        <v>38</v>
      </c>
      <c r="AI378" s="1381"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315"/>
      <c r="B379" s="1301"/>
      <c r="C379" s="1302"/>
      <c r="D379" s="1302"/>
      <c r="E379" s="1302"/>
      <c r="F379" s="1303"/>
      <c r="G379" s="1268"/>
      <c r="H379" s="1268"/>
      <c r="I379" s="1268"/>
      <c r="J379" s="1443"/>
      <c r="K379" s="1268"/>
      <c r="L379" s="1454"/>
      <c r="M379" s="1463"/>
      <c r="N379" s="1399" t="str">
        <f>IF('別紙様式2-2（４・５月分）'!Q288="","",'別紙様式2-2（４・５月分）'!Q288)</f>
        <v/>
      </c>
      <c r="O379" s="1420"/>
      <c r="P379" s="1426"/>
      <c r="Q379" s="1427"/>
      <c r="R379" s="1428"/>
      <c r="S379" s="1430"/>
      <c r="T379" s="1432"/>
      <c r="U379" s="1577"/>
      <c r="V379" s="1436"/>
      <c r="W379" s="1438"/>
      <c r="X379" s="1575"/>
      <c r="Y379" s="1378"/>
      <c r="Z379" s="1575"/>
      <c r="AA379" s="1378"/>
      <c r="AB379" s="1575"/>
      <c r="AC379" s="1378"/>
      <c r="AD379" s="1575"/>
      <c r="AE379" s="1378"/>
      <c r="AF379" s="1378"/>
      <c r="AG379" s="1378"/>
      <c r="AH379" s="1380"/>
      <c r="AI379" s="1382"/>
      <c r="AJ379" s="1569"/>
      <c r="AK379" s="1571"/>
      <c r="AL379" s="1573"/>
      <c r="AM379" s="1564"/>
      <c r="AN379" s="1566"/>
      <c r="AO379" s="1394"/>
      <c r="AP379" s="1567"/>
      <c r="AQ379" s="1394"/>
      <c r="AR379" s="1536"/>
      <c r="AS379" s="1539"/>
      <c r="AT379" s="1537" t="str">
        <f t="shared" ref="AT379" si="35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1"/>
      <c r="C380" s="1302"/>
      <c r="D380" s="1302"/>
      <c r="E380" s="1302"/>
      <c r="F380" s="1303"/>
      <c r="G380" s="1268"/>
      <c r="H380" s="1268"/>
      <c r="I380" s="1268"/>
      <c r="J380" s="1443"/>
      <c r="K380" s="1268"/>
      <c r="L380" s="1454"/>
      <c r="M380" s="1463"/>
      <c r="N380" s="1400"/>
      <c r="O380" s="1421"/>
      <c r="P380" s="1401" t="s">
        <v>2179</v>
      </c>
      <c r="Q380" s="1460" t="str">
        <f>IFERROR(VLOOKUP('別紙様式2-2（４・５月分）'!AR287,【参考】数式用!$AT$5:$AV$22,3,FALSE),"")</f>
        <v/>
      </c>
      <c r="R380" s="1405" t="s">
        <v>2190</v>
      </c>
      <c r="S380" s="1407" t="str">
        <f>IFERROR(VLOOKUP(K378,【参考】数式用!$A$5:$AB$27,MATCH(Q380,【参考】数式用!$B$4:$AB$4,0)+1,0),"")</f>
        <v/>
      </c>
      <c r="T380" s="1409" t="s">
        <v>2267</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2172</v>
      </c>
      <c r="AF380" s="1397" t="s">
        <v>24</v>
      </c>
      <c r="AG380" s="1397" t="str">
        <f>IF(X380&gt;=1,(AB380*12+AD380)-(X380*12+Z380)+1,"")</f>
        <v/>
      </c>
      <c r="AH380" s="1365" t="s">
        <v>38</v>
      </c>
      <c r="AI380" s="1489" t="str">
        <f t="shared" ref="AI380" si="359">IFERROR(ROUNDDOWN(ROUND(L378*V380,0)*M378,0)*AG380,"")</f>
        <v/>
      </c>
      <c r="AJ380" s="1553" t="str">
        <f>IFERROR(ROUNDDOWN(ROUND((L378*(V380-AX378)),0)*M378,0)*AG380,"")</f>
        <v/>
      </c>
      <c r="AK380" s="1371"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IF(AND(AB378&lt;&gt;7,AD378&lt;&gt;3),"V列に色付け","")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316"/>
      <c r="B381" s="1439"/>
      <c r="C381" s="1440"/>
      <c r="D381" s="1440"/>
      <c r="E381" s="1440"/>
      <c r="F381" s="1441"/>
      <c r="G381" s="1269"/>
      <c r="H381" s="1269"/>
      <c r="I381" s="1269"/>
      <c r="J381" s="1444"/>
      <c r="K381" s="1269"/>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66"/>
      <c r="AI381" s="1490"/>
      <c r="AJ381" s="1554"/>
      <c r="AK381" s="1372"/>
      <c r="AL381" s="1556"/>
      <c r="AM381" s="1558"/>
      <c r="AN381" s="1550"/>
      <c r="AO381" s="1530"/>
      <c r="AP381" s="1552"/>
      <c r="AQ381" s="1530"/>
      <c r="AR381" s="1532"/>
      <c r="AS381" s="153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314">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43"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2258</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7" t="s">
        <v>10</v>
      </c>
      <c r="Z382" s="1574">
        <f>'別紙様式2-3（６月以降分）'!Z382</f>
        <v>6</v>
      </c>
      <c r="AA382" s="1377" t="s">
        <v>45</v>
      </c>
      <c r="AB382" s="1574">
        <f>'別紙様式2-3（６月以降分）'!AB382</f>
        <v>7</v>
      </c>
      <c r="AC382" s="1377" t="s">
        <v>10</v>
      </c>
      <c r="AD382" s="1574">
        <f>'別紙様式2-3（６月以降分）'!AD382</f>
        <v>3</v>
      </c>
      <c r="AE382" s="1377" t="s">
        <v>2172</v>
      </c>
      <c r="AF382" s="1377" t="s">
        <v>24</v>
      </c>
      <c r="AG382" s="1377">
        <f>IF(X382&gt;=1,(AB382*12+AD382)-(X382*12+Z382)+1,"")</f>
        <v>10</v>
      </c>
      <c r="AH382" s="1379" t="s">
        <v>38</v>
      </c>
      <c r="AI382" s="1381"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315"/>
      <c r="B383" s="1301"/>
      <c r="C383" s="1302"/>
      <c r="D383" s="1302"/>
      <c r="E383" s="1302"/>
      <c r="F383" s="1303"/>
      <c r="G383" s="1268"/>
      <c r="H383" s="1268"/>
      <c r="I383" s="1268"/>
      <c r="J383" s="1443"/>
      <c r="K383" s="1268"/>
      <c r="L383" s="1454"/>
      <c r="M383" s="1456"/>
      <c r="N383" s="1399" t="str">
        <f>IF('別紙様式2-2（４・５月分）'!Q291="","",'別紙様式2-2（４・５月分）'!Q291)</f>
        <v/>
      </c>
      <c r="O383" s="1420"/>
      <c r="P383" s="1426"/>
      <c r="Q383" s="1427"/>
      <c r="R383" s="1428"/>
      <c r="S383" s="1430"/>
      <c r="T383" s="1432"/>
      <c r="U383" s="1577"/>
      <c r="V383" s="1436"/>
      <c r="W383" s="1438"/>
      <c r="X383" s="1575"/>
      <c r="Y383" s="1378"/>
      <c r="Z383" s="1575"/>
      <c r="AA383" s="1378"/>
      <c r="AB383" s="1575"/>
      <c r="AC383" s="1378"/>
      <c r="AD383" s="1575"/>
      <c r="AE383" s="1378"/>
      <c r="AF383" s="1378"/>
      <c r="AG383" s="1378"/>
      <c r="AH383" s="1380"/>
      <c r="AI383" s="1382"/>
      <c r="AJ383" s="1569"/>
      <c r="AK383" s="1571"/>
      <c r="AL383" s="1573"/>
      <c r="AM383" s="1564"/>
      <c r="AN383" s="1566"/>
      <c r="AO383" s="1394"/>
      <c r="AP383" s="1567"/>
      <c r="AQ383" s="1394"/>
      <c r="AR383" s="1536"/>
      <c r="AS383" s="1539"/>
      <c r="AT383" s="1537" t="str">
        <f t="shared" ref="AT383" si="362">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1"/>
      <c r="C384" s="1302"/>
      <c r="D384" s="1302"/>
      <c r="E384" s="1302"/>
      <c r="F384" s="1303"/>
      <c r="G384" s="1268"/>
      <c r="H384" s="1268"/>
      <c r="I384" s="1268"/>
      <c r="J384" s="1443"/>
      <c r="K384" s="1268"/>
      <c r="L384" s="1454"/>
      <c r="M384" s="1456"/>
      <c r="N384" s="1400"/>
      <c r="O384" s="1421"/>
      <c r="P384" s="1401" t="s">
        <v>2179</v>
      </c>
      <c r="Q384" s="1460" t="str">
        <f>IFERROR(VLOOKUP('別紙様式2-2（４・５月分）'!AR290,【参考】数式用!$AT$5:$AV$22,3,FALSE),"")</f>
        <v/>
      </c>
      <c r="R384" s="1405" t="s">
        <v>2190</v>
      </c>
      <c r="S384" s="1447" t="str">
        <f>IFERROR(VLOOKUP(K382,【参考】数式用!$A$5:$AB$27,MATCH(Q384,【参考】数式用!$B$4:$AB$4,0)+1,0),"")</f>
        <v/>
      </c>
      <c r="T384" s="1409" t="s">
        <v>2267</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2172</v>
      </c>
      <c r="AF384" s="1397" t="s">
        <v>24</v>
      </c>
      <c r="AG384" s="1397" t="str">
        <f>IF(X384&gt;=1,(AB384*12+AD384)-(X384*12+Z384)+1,"")</f>
        <v/>
      </c>
      <c r="AH384" s="1365" t="s">
        <v>38</v>
      </c>
      <c r="AI384" s="1489" t="str">
        <f t="shared" ref="AI384" si="363">IFERROR(ROUNDDOWN(ROUND(L382*V384,0)*M382,0)*AG384,"")</f>
        <v/>
      </c>
      <c r="AJ384" s="1553" t="str">
        <f>IFERROR(ROUNDDOWN(ROUND((L382*(V384-AX382)),0)*M382,0)*AG384,"")</f>
        <v/>
      </c>
      <c r="AK384" s="1371"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IF(AND(AB382&lt;&gt;7,AD382&lt;&gt;3),"V列に色付け","")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316"/>
      <c r="B385" s="1439"/>
      <c r="C385" s="1440"/>
      <c r="D385" s="1440"/>
      <c r="E385" s="1440"/>
      <c r="F385" s="1441"/>
      <c r="G385" s="1269"/>
      <c r="H385" s="1269"/>
      <c r="I385" s="1269"/>
      <c r="J385" s="1444"/>
      <c r="K385" s="1269"/>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66"/>
      <c r="AI385" s="1490"/>
      <c r="AJ385" s="1554"/>
      <c r="AK385" s="1372"/>
      <c r="AL385" s="1556"/>
      <c r="AM385" s="1558"/>
      <c r="AN385" s="1550"/>
      <c r="AO385" s="1530"/>
      <c r="AP385" s="1552"/>
      <c r="AQ385" s="1530"/>
      <c r="AR385" s="1532"/>
      <c r="AS385" s="153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42" t="str">
        <f>IF(基本情報入力シート!X147="","",基本情報入力シート!X147)</f>
        <v/>
      </c>
      <c r="K386" s="1267"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2258</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7" t="s">
        <v>10</v>
      </c>
      <c r="Z386" s="1574">
        <f>'別紙様式2-3（６月以降分）'!Z386</f>
        <v>6</v>
      </c>
      <c r="AA386" s="1377" t="s">
        <v>45</v>
      </c>
      <c r="AB386" s="1574">
        <f>'別紙様式2-3（６月以降分）'!AB386</f>
        <v>7</v>
      </c>
      <c r="AC386" s="1377" t="s">
        <v>10</v>
      </c>
      <c r="AD386" s="1574">
        <f>'別紙様式2-3（６月以降分）'!AD386</f>
        <v>3</v>
      </c>
      <c r="AE386" s="1377" t="s">
        <v>2172</v>
      </c>
      <c r="AF386" s="1377" t="s">
        <v>24</v>
      </c>
      <c r="AG386" s="1377">
        <f>IF(X386&gt;=1,(AB386*12+AD386)-(X386*12+Z386)+1,"")</f>
        <v>10</v>
      </c>
      <c r="AH386" s="1379" t="s">
        <v>38</v>
      </c>
      <c r="AI386" s="1381"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315"/>
      <c r="B387" s="1301"/>
      <c r="C387" s="1302"/>
      <c r="D387" s="1302"/>
      <c r="E387" s="1302"/>
      <c r="F387" s="1303"/>
      <c r="G387" s="1268"/>
      <c r="H387" s="1268"/>
      <c r="I387" s="1268"/>
      <c r="J387" s="1443"/>
      <c r="K387" s="1268"/>
      <c r="L387" s="1454"/>
      <c r="M387" s="1463"/>
      <c r="N387" s="1399" t="str">
        <f>IF('別紙様式2-2（４・５月分）'!Q294="","",'別紙様式2-2（４・５月分）'!Q294)</f>
        <v/>
      </c>
      <c r="O387" s="1420"/>
      <c r="P387" s="1426"/>
      <c r="Q387" s="1427"/>
      <c r="R387" s="1428"/>
      <c r="S387" s="1430"/>
      <c r="T387" s="1432"/>
      <c r="U387" s="1577"/>
      <c r="V387" s="1436"/>
      <c r="W387" s="1438"/>
      <c r="X387" s="1575"/>
      <c r="Y387" s="1378"/>
      <c r="Z387" s="1575"/>
      <c r="AA387" s="1378"/>
      <c r="AB387" s="1575"/>
      <c r="AC387" s="1378"/>
      <c r="AD387" s="1575"/>
      <c r="AE387" s="1378"/>
      <c r="AF387" s="1378"/>
      <c r="AG387" s="1378"/>
      <c r="AH387" s="1380"/>
      <c r="AI387" s="1382"/>
      <c r="AJ387" s="1569"/>
      <c r="AK387" s="1571"/>
      <c r="AL387" s="1573"/>
      <c r="AM387" s="1564"/>
      <c r="AN387" s="1566"/>
      <c r="AO387" s="1394"/>
      <c r="AP387" s="1567"/>
      <c r="AQ387" s="1394"/>
      <c r="AR387" s="1536"/>
      <c r="AS387" s="1539"/>
      <c r="AT387" s="1537" t="str">
        <f t="shared" ref="AT387" si="366">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1"/>
      <c r="C388" s="1302"/>
      <c r="D388" s="1302"/>
      <c r="E388" s="1302"/>
      <c r="F388" s="1303"/>
      <c r="G388" s="1268"/>
      <c r="H388" s="1268"/>
      <c r="I388" s="1268"/>
      <c r="J388" s="1443"/>
      <c r="K388" s="1268"/>
      <c r="L388" s="1454"/>
      <c r="M388" s="1463"/>
      <c r="N388" s="1400"/>
      <c r="O388" s="1421"/>
      <c r="P388" s="1401" t="s">
        <v>2179</v>
      </c>
      <c r="Q388" s="1460" t="str">
        <f>IFERROR(VLOOKUP('別紙様式2-2（４・５月分）'!AR293,【参考】数式用!$AT$5:$AV$22,3,FALSE),"")</f>
        <v/>
      </c>
      <c r="R388" s="1405" t="s">
        <v>2190</v>
      </c>
      <c r="S388" s="1407" t="str">
        <f>IFERROR(VLOOKUP(K386,【参考】数式用!$A$5:$AB$27,MATCH(Q388,【参考】数式用!$B$4:$AB$4,0)+1,0),"")</f>
        <v/>
      </c>
      <c r="T388" s="1409" t="s">
        <v>2267</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2172</v>
      </c>
      <c r="AF388" s="1397" t="s">
        <v>24</v>
      </c>
      <c r="AG388" s="1397" t="str">
        <f>IF(X388&gt;=1,(AB388*12+AD388)-(X388*12+Z388)+1,"")</f>
        <v/>
      </c>
      <c r="AH388" s="1365" t="s">
        <v>38</v>
      </c>
      <c r="AI388" s="1489" t="str">
        <f t="shared" ref="AI388" si="367">IFERROR(ROUNDDOWN(ROUND(L386*V388,0)*M386,0)*AG388,"")</f>
        <v/>
      </c>
      <c r="AJ388" s="1553" t="str">
        <f>IFERROR(ROUNDDOWN(ROUND((L386*(V388-AX386)),0)*M386,0)*AG388,"")</f>
        <v/>
      </c>
      <c r="AK388" s="1371"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IF(AND(AB386&lt;&gt;7,AD386&lt;&gt;3),"V列に色付け","")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316"/>
      <c r="B389" s="1439"/>
      <c r="C389" s="1440"/>
      <c r="D389" s="1440"/>
      <c r="E389" s="1440"/>
      <c r="F389" s="1441"/>
      <c r="G389" s="1269"/>
      <c r="H389" s="1269"/>
      <c r="I389" s="1269"/>
      <c r="J389" s="1444"/>
      <c r="K389" s="1269"/>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66"/>
      <c r="AI389" s="1490"/>
      <c r="AJ389" s="1554"/>
      <c r="AK389" s="1372"/>
      <c r="AL389" s="1556"/>
      <c r="AM389" s="1558"/>
      <c r="AN389" s="1550"/>
      <c r="AO389" s="1530"/>
      <c r="AP389" s="1552"/>
      <c r="AQ389" s="1530"/>
      <c r="AR389" s="1532"/>
      <c r="AS389" s="153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314">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43"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2258</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7" t="s">
        <v>10</v>
      </c>
      <c r="Z390" s="1574">
        <f>'別紙様式2-3（６月以降分）'!Z390</f>
        <v>6</v>
      </c>
      <c r="AA390" s="1377" t="s">
        <v>45</v>
      </c>
      <c r="AB390" s="1574">
        <f>'別紙様式2-3（６月以降分）'!AB390</f>
        <v>7</v>
      </c>
      <c r="AC390" s="1377" t="s">
        <v>10</v>
      </c>
      <c r="AD390" s="1574">
        <f>'別紙様式2-3（６月以降分）'!AD390</f>
        <v>3</v>
      </c>
      <c r="AE390" s="1377" t="s">
        <v>2172</v>
      </c>
      <c r="AF390" s="1377" t="s">
        <v>24</v>
      </c>
      <c r="AG390" s="1377">
        <f>IF(X390&gt;=1,(AB390*12+AD390)-(X390*12+Z390)+1,"")</f>
        <v>10</v>
      </c>
      <c r="AH390" s="1379" t="s">
        <v>38</v>
      </c>
      <c r="AI390" s="1381"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315"/>
      <c r="B391" s="1301"/>
      <c r="C391" s="1302"/>
      <c r="D391" s="1302"/>
      <c r="E391" s="1302"/>
      <c r="F391" s="1303"/>
      <c r="G391" s="1268"/>
      <c r="H391" s="1268"/>
      <c r="I391" s="1268"/>
      <c r="J391" s="1443"/>
      <c r="K391" s="1268"/>
      <c r="L391" s="1454"/>
      <c r="M391" s="1456"/>
      <c r="N391" s="1399" t="str">
        <f>IF('別紙様式2-2（４・５月分）'!Q297="","",'別紙様式2-2（４・５月分）'!Q297)</f>
        <v/>
      </c>
      <c r="O391" s="1420"/>
      <c r="P391" s="1426"/>
      <c r="Q391" s="1427"/>
      <c r="R391" s="1428"/>
      <c r="S391" s="1430"/>
      <c r="T391" s="1432"/>
      <c r="U391" s="1577"/>
      <c r="V391" s="1436"/>
      <c r="W391" s="1438"/>
      <c r="X391" s="1575"/>
      <c r="Y391" s="1378"/>
      <c r="Z391" s="1575"/>
      <c r="AA391" s="1378"/>
      <c r="AB391" s="1575"/>
      <c r="AC391" s="1378"/>
      <c r="AD391" s="1575"/>
      <c r="AE391" s="1378"/>
      <c r="AF391" s="1378"/>
      <c r="AG391" s="1378"/>
      <c r="AH391" s="1380"/>
      <c r="AI391" s="1382"/>
      <c r="AJ391" s="1569"/>
      <c r="AK391" s="1571"/>
      <c r="AL391" s="1573"/>
      <c r="AM391" s="1564"/>
      <c r="AN391" s="1566"/>
      <c r="AO391" s="1394"/>
      <c r="AP391" s="1567"/>
      <c r="AQ391" s="1394"/>
      <c r="AR391" s="1536"/>
      <c r="AS391" s="1539"/>
      <c r="AT391" s="1537" t="str">
        <f t="shared" ref="AT391" si="370">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1"/>
      <c r="C392" s="1302"/>
      <c r="D392" s="1302"/>
      <c r="E392" s="1302"/>
      <c r="F392" s="1303"/>
      <c r="G392" s="1268"/>
      <c r="H392" s="1268"/>
      <c r="I392" s="1268"/>
      <c r="J392" s="1443"/>
      <c r="K392" s="1268"/>
      <c r="L392" s="1454"/>
      <c r="M392" s="1456"/>
      <c r="N392" s="1400"/>
      <c r="O392" s="1421"/>
      <c r="P392" s="1401" t="s">
        <v>2179</v>
      </c>
      <c r="Q392" s="1460" t="str">
        <f>IFERROR(VLOOKUP('別紙様式2-2（４・５月分）'!AR296,【参考】数式用!$AT$5:$AV$22,3,FALSE),"")</f>
        <v/>
      </c>
      <c r="R392" s="1405" t="s">
        <v>2190</v>
      </c>
      <c r="S392" s="1447" t="str">
        <f>IFERROR(VLOOKUP(K390,【参考】数式用!$A$5:$AB$27,MATCH(Q392,【参考】数式用!$B$4:$AB$4,0)+1,0),"")</f>
        <v/>
      </c>
      <c r="T392" s="1409" t="s">
        <v>2267</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2172</v>
      </c>
      <c r="AF392" s="1397" t="s">
        <v>24</v>
      </c>
      <c r="AG392" s="1397" t="str">
        <f>IF(X392&gt;=1,(AB392*12+AD392)-(X392*12+Z392)+1,"")</f>
        <v/>
      </c>
      <c r="AH392" s="1365" t="s">
        <v>38</v>
      </c>
      <c r="AI392" s="1489" t="str">
        <f t="shared" ref="AI392" si="371">IFERROR(ROUNDDOWN(ROUND(L390*V392,0)*M390,0)*AG392,"")</f>
        <v/>
      </c>
      <c r="AJ392" s="1553" t="str">
        <f>IFERROR(ROUNDDOWN(ROUND((L390*(V392-AX390)),0)*M390,0)*AG392,"")</f>
        <v/>
      </c>
      <c r="AK392" s="1371"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IF(AND(AB390&lt;&gt;7,AD390&lt;&gt;3),"V列に色付け","")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316"/>
      <c r="B393" s="1439"/>
      <c r="C393" s="1440"/>
      <c r="D393" s="1440"/>
      <c r="E393" s="1440"/>
      <c r="F393" s="1441"/>
      <c r="G393" s="1269"/>
      <c r="H393" s="1269"/>
      <c r="I393" s="1269"/>
      <c r="J393" s="1444"/>
      <c r="K393" s="1269"/>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66"/>
      <c r="AI393" s="1490"/>
      <c r="AJ393" s="1554"/>
      <c r="AK393" s="1372"/>
      <c r="AL393" s="1556"/>
      <c r="AM393" s="1558"/>
      <c r="AN393" s="1550"/>
      <c r="AO393" s="1530"/>
      <c r="AP393" s="1552"/>
      <c r="AQ393" s="1530"/>
      <c r="AR393" s="1532"/>
      <c r="AS393" s="153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42" t="str">
        <f>IF(基本情報入力シート!X149="","",基本情報入力シート!X149)</f>
        <v/>
      </c>
      <c r="K394" s="1267"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2258</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7" t="s">
        <v>10</v>
      </c>
      <c r="Z394" s="1574">
        <f>'別紙様式2-3（６月以降分）'!Z394</f>
        <v>6</v>
      </c>
      <c r="AA394" s="1377" t="s">
        <v>45</v>
      </c>
      <c r="AB394" s="1574">
        <f>'別紙様式2-3（６月以降分）'!AB394</f>
        <v>7</v>
      </c>
      <c r="AC394" s="1377" t="s">
        <v>10</v>
      </c>
      <c r="AD394" s="1574">
        <f>'別紙様式2-3（６月以降分）'!AD394</f>
        <v>3</v>
      </c>
      <c r="AE394" s="1377" t="s">
        <v>2172</v>
      </c>
      <c r="AF394" s="1377" t="s">
        <v>24</v>
      </c>
      <c r="AG394" s="1377">
        <f>IF(X394&gt;=1,(AB394*12+AD394)-(X394*12+Z394)+1,"")</f>
        <v>10</v>
      </c>
      <c r="AH394" s="1379" t="s">
        <v>38</v>
      </c>
      <c r="AI394" s="1381"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315"/>
      <c r="B395" s="1301"/>
      <c r="C395" s="1302"/>
      <c r="D395" s="1302"/>
      <c r="E395" s="1302"/>
      <c r="F395" s="1303"/>
      <c r="G395" s="1268"/>
      <c r="H395" s="1268"/>
      <c r="I395" s="1268"/>
      <c r="J395" s="1443"/>
      <c r="K395" s="1268"/>
      <c r="L395" s="1454"/>
      <c r="M395" s="1463"/>
      <c r="N395" s="1399" t="str">
        <f>IF('別紙様式2-2（４・５月分）'!Q300="","",'別紙様式2-2（４・５月分）'!Q300)</f>
        <v/>
      </c>
      <c r="O395" s="1420"/>
      <c r="P395" s="1426"/>
      <c r="Q395" s="1427"/>
      <c r="R395" s="1428"/>
      <c r="S395" s="1430"/>
      <c r="T395" s="1432"/>
      <c r="U395" s="1577"/>
      <c r="V395" s="1436"/>
      <c r="W395" s="1438"/>
      <c r="X395" s="1575"/>
      <c r="Y395" s="1378"/>
      <c r="Z395" s="1575"/>
      <c r="AA395" s="1378"/>
      <c r="AB395" s="1575"/>
      <c r="AC395" s="1378"/>
      <c r="AD395" s="1575"/>
      <c r="AE395" s="1378"/>
      <c r="AF395" s="1378"/>
      <c r="AG395" s="1378"/>
      <c r="AH395" s="1380"/>
      <c r="AI395" s="1382"/>
      <c r="AJ395" s="1569"/>
      <c r="AK395" s="1571"/>
      <c r="AL395" s="1573"/>
      <c r="AM395" s="1564"/>
      <c r="AN395" s="1566"/>
      <c r="AO395" s="1394"/>
      <c r="AP395" s="1567"/>
      <c r="AQ395" s="1394"/>
      <c r="AR395" s="1536"/>
      <c r="AS395" s="1539"/>
      <c r="AT395" s="1537" t="str">
        <f t="shared" ref="AT395" si="374">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1"/>
      <c r="C396" s="1302"/>
      <c r="D396" s="1302"/>
      <c r="E396" s="1302"/>
      <c r="F396" s="1303"/>
      <c r="G396" s="1268"/>
      <c r="H396" s="1268"/>
      <c r="I396" s="1268"/>
      <c r="J396" s="1443"/>
      <c r="K396" s="1268"/>
      <c r="L396" s="1454"/>
      <c r="M396" s="1463"/>
      <c r="N396" s="1400"/>
      <c r="O396" s="1421"/>
      <c r="P396" s="1401" t="s">
        <v>2179</v>
      </c>
      <c r="Q396" s="1460" t="str">
        <f>IFERROR(VLOOKUP('別紙様式2-2（４・５月分）'!AR299,【参考】数式用!$AT$5:$AV$22,3,FALSE),"")</f>
        <v/>
      </c>
      <c r="R396" s="1405" t="s">
        <v>2190</v>
      </c>
      <c r="S396" s="1407" t="str">
        <f>IFERROR(VLOOKUP(K394,【参考】数式用!$A$5:$AB$27,MATCH(Q396,【参考】数式用!$B$4:$AB$4,0)+1,0),"")</f>
        <v/>
      </c>
      <c r="T396" s="1409" t="s">
        <v>2267</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2172</v>
      </c>
      <c r="AF396" s="1397" t="s">
        <v>24</v>
      </c>
      <c r="AG396" s="1397" t="str">
        <f>IF(X396&gt;=1,(AB396*12+AD396)-(X396*12+Z396)+1,"")</f>
        <v/>
      </c>
      <c r="AH396" s="1365" t="s">
        <v>38</v>
      </c>
      <c r="AI396" s="1489" t="str">
        <f t="shared" ref="AI396" si="375">IFERROR(ROUNDDOWN(ROUND(L394*V396,0)*M394,0)*AG396,"")</f>
        <v/>
      </c>
      <c r="AJ396" s="1553" t="str">
        <f>IFERROR(ROUNDDOWN(ROUND((L394*(V396-AX394)),0)*M394,0)*AG396,"")</f>
        <v/>
      </c>
      <c r="AK396" s="1371"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IF(AND(AB394&lt;&gt;7,AD394&lt;&gt;3),"V列に色付け","")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316"/>
      <c r="B397" s="1439"/>
      <c r="C397" s="1440"/>
      <c r="D397" s="1440"/>
      <c r="E397" s="1440"/>
      <c r="F397" s="1441"/>
      <c r="G397" s="1269"/>
      <c r="H397" s="1269"/>
      <c r="I397" s="1269"/>
      <c r="J397" s="1444"/>
      <c r="K397" s="1269"/>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66"/>
      <c r="AI397" s="1490"/>
      <c r="AJ397" s="1554"/>
      <c r="AK397" s="1372"/>
      <c r="AL397" s="1556"/>
      <c r="AM397" s="1558"/>
      <c r="AN397" s="1550"/>
      <c r="AO397" s="1530"/>
      <c r="AP397" s="1552"/>
      <c r="AQ397" s="1530"/>
      <c r="AR397" s="1532"/>
      <c r="AS397" s="153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314">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43"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2258</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7" t="s">
        <v>10</v>
      </c>
      <c r="Z398" s="1574">
        <f>'別紙様式2-3（６月以降分）'!Z398</f>
        <v>6</v>
      </c>
      <c r="AA398" s="1377" t="s">
        <v>45</v>
      </c>
      <c r="AB398" s="1574">
        <f>'別紙様式2-3（６月以降分）'!AB398</f>
        <v>7</v>
      </c>
      <c r="AC398" s="1377" t="s">
        <v>10</v>
      </c>
      <c r="AD398" s="1574">
        <f>'別紙様式2-3（６月以降分）'!AD398</f>
        <v>3</v>
      </c>
      <c r="AE398" s="1377" t="s">
        <v>2172</v>
      </c>
      <c r="AF398" s="1377" t="s">
        <v>24</v>
      </c>
      <c r="AG398" s="1377">
        <f>IF(X398&gt;=1,(AB398*12+AD398)-(X398*12+Z398)+1,"")</f>
        <v>10</v>
      </c>
      <c r="AH398" s="1379" t="s">
        <v>38</v>
      </c>
      <c r="AI398" s="1381"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315"/>
      <c r="B399" s="1301"/>
      <c r="C399" s="1302"/>
      <c r="D399" s="1302"/>
      <c r="E399" s="1302"/>
      <c r="F399" s="1303"/>
      <c r="G399" s="1268"/>
      <c r="H399" s="1268"/>
      <c r="I399" s="1268"/>
      <c r="J399" s="1443"/>
      <c r="K399" s="1268"/>
      <c r="L399" s="1454"/>
      <c r="M399" s="1456"/>
      <c r="N399" s="1399" t="str">
        <f>IF('別紙様式2-2（４・５月分）'!Q303="","",'別紙様式2-2（４・５月分）'!Q303)</f>
        <v/>
      </c>
      <c r="O399" s="1420"/>
      <c r="P399" s="1426"/>
      <c r="Q399" s="1427"/>
      <c r="R399" s="1428"/>
      <c r="S399" s="1430"/>
      <c r="T399" s="1432"/>
      <c r="U399" s="1577"/>
      <c r="V399" s="1436"/>
      <c r="W399" s="1438"/>
      <c r="X399" s="1575"/>
      <c r="Y399" s="1378"/>
      <c r="Z399" s="1575"/>
      <c r="AA399" s="1378"/>
      <c r="AB399" s="1575"/>
      <c r="AC399" s="1378"/>
      <c r="AD399" s="1575"/>
      <c r="AE399" s="1378"/>
      <c r="AF399" s="1378"/>
      <c r="AG399" s="1378"/>
      <c r="AH399" s="1380"/>
      <c r="AI399" s="1382"/>
      <c r="AJ399" s="1569"/>
      <c r="AK399" s="1571"/>
      <c r="AL399" s="1573"/>
      <c r="AM399" s="1564"/>
      <c r="AN399" s="1566"/>
      <c r="AO399" s="1394"/>
      <c r="AP399" s="1567"/>
      <c r="AQ399" s="1394"/>
      <c r="AR399" s="1536"/>
      <c r="AS399" s="1539"/>
      <c r="AT399" s="1537" t="str">
        <f t="shared" ref="AT399" si="378">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1"/>
      <c r="C400" s="1302"/>
      <c r="D400" s="1302"/>
      <c r="E400" s="1302"/>
      <c r="F400" s="1303"/>
      <c r="G400" s="1268"/>
      <c r="H400" s="1268"/>
      <c r="I400" s="1268"/>
      <c r="J400" s="1443"/>
      <c r="K400" s="1268"/>
      <c r="L400" s="1454"/>
      <c r="M400" s="1456"/>
      <c r="N400" s="1400"/>
      <c r="O400" s="1421"/>
      <c r="P400" s="1401" t="s">
        <v>2179</v>
      </c>
      <c r="Q400" s="1460" t="str">
        <f>IFERROR(VLOOKUP('別紙様式2-2（４・５月分）'!AR302,【参考】数式用!$AT$5:$AV$22,3,FALSE),"")</f>
        <v/>
      </c>
      <c r="R400" s="1405" t="s">
        <v>2190</v>
      </c>
      <c r="S400" s="1447" t="str">
        <f>IFERROR(VLOOKUP(K398,【参考】数式用!$A$5:$AB$27,MATCH(Q400,【参考】数式用!$B$4:$AB$4,0)+1,0),"")</f>
        <v/>
      </c>
      <c r="T400" s="1409" t="s">
        <v>2267</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2172</v>
      </c>
      <c r="AF400" s="1397" t="s">
        <v>24</v>
      </c>
      <c r="AG400" s="1397" t="str">
        <f>IF(X400&gt;=1,(AB400*12+AD400)-(X400*12+Z400)+1,"")</f>
        <v/>
      </c>
      <c r="AH400" s="1365" t="s">
        <v>38</v>
      </c>
      <c r="AI400" s="1489" t="str">
        <f t="shared" ref="AI400" si="379">IFERROR(ROUNDDOWN(ROUND(L398*V400,0)*M398,0)*AG400,"")</f>
        <v/>
      </c>
      <c r="AJ400" s="1553" t="str">
        <f>IFERROR(ROUNDDOWN(ROUND((L398*(V400-AX398)),0)*M398,0)*AG400,"")</f>
        <v/>
      </c>
      <c r="AK400" s="1371"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IF(AND(AB398&lt;&gt;7,AD398&lt;&gt;3),"V列に色付け","")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316"/>
      <c r="B401" s="1439"/>
      <c r="C401" s="1440"/>
      <c r="D401" s="1440"/>
      <c r="E401" s="1440"/>
      <c r="F401" s="1441"/>
      <c r="G401" s="1269"/>
      <c r="H401" s="1269"/>
      <c r="I401" s="1269"/>
      <c r="J401" s="1444"/>
      <c r="K401" s="1269"/>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66"/>
      <c r="AI401" s="1490"/>
      <c r="AJ401" s="1554"/>
      <c r="AK401" s="1372"/>
      <c r="AL401" s="1556"/>
      <c r="AM401" s="1558"/>
      <c r="AN401" s="1550"/>
      <c r="AO401" s="1530"/>
      <c r="AP401" s="1552"/>
      <c r="AQ401" s="1530"/>
      <c r="AR401" s="1532"/>
      <c r="AS401" s="153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42" t="str">
        <f>IF(基本情報入力シート!X151="","",基本情報入力シート!X151)</f>
        <v/>
      </c>
      <c r="K402" s="1267"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2258</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7" t="s">
        <v>10</v>
      </c>
      <c r="Z402" s="1574">
        <f>'別紙様式2-3（６月以降分）'!Z402</f>
        <v>6</v>
      </c>
      <c r="AA402" s="1377" t="s">
        <v>45</v>
      </c>
      <c r="AB402" s="1574">
        <f>'別紙様式2-3（６月以降分）'!AB402</f>
        <v>7</v>
      </c>
      <c r="AC402" s="1377" t="s">
        <v>10</v>
      </c>
      <c r="AD402" s="1574">
        <f>'別紙様式2-3（６月以降分）'!AD402</f>
        <v>3</v>
      </c>
      <c r="AE402" s="1377" t="s">
        <v>2172</v>
      </c>
      <c r="AF402" s="1377" t="s">
        <v>24</v>
      </c>
      <c r="AG402" s="1377">
        <f>IF(X402&gt;=1,(AB402*12+AD402)-(X402*12+Z402)+1,"")</f>
        <v>10</v>
      </c>
      <c r="AH402" s="1379" t="s">
        <v>38</v>
      </c>
      <c r="AI402" s="1381"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315"/>
      <c r="B403" s="1301"/>
      <c r="C403" s="1302"/>
      <c r="D403" s="1302"/>
      <c r="E403" s="1302"/>
      <c r="F403" s="1303"/>
      <c r="G403" s="1268"/>
      <c r="H403" s="1268"/>
      <c r="I403" s="1268"/>
      <c r="J403" s="1443"/>
      <c r="K403" s="1268"/>
      <c r="L403" s="1454"/>
      <c r="M403" s="1463"/>
      <c r="N403" s="1399" t="str">
        <f>IF('別紙様式2-2（４・５月分）'!Q306="","",'別紙様式2-2（４・５月分）'!Q306)</f>
        <v/>
      </c>
      <c r="O403" s="1420"/>
      <c r="P403" s="1426"/>
      <c r="Q403" s="1427"/>
      <c r="R403" s="1428"/>
      <c r="S403" s="1430"/>
      <c r="T403" s="1432"/>
      <c r="U403" s="1577"/>
      <c r="V403" s="1436"/>
      <c r="W403" s="1438"/>
      <c r="X403" s="1575"/>
      <c r="Y403" s="1378"/>
      <c r="Z403" s="1575"/>
      <c r="AA403" s="1378"/>
      <c r="AB403" s="1575"/>
      <c r="AC403" s="1378"/>
      <c r="AD403" s="1575"/>
      <c r="AE403" s="1378"/>
      <c r="AF403" s="1378"/>
      <c r="AG403" s="1378"/>
      <c r="AH403" s="1380"/>
      <c r="AI403" s="1382"/>
      <c r="AJ403" s="1569"/>
      <c r="AK403" s="1571"/>
      <c r="AL403" s="1573"/>
      <c r="AM403" s="1564"/>
      <c r="AN403" s="1566"/>
      <c r="AO403" s="1394"/>
      <c r="AP403" s="1567"/>
      <c r="AQ403" s="1394"/>
      <c r="AR403" s="1536"/>
      <c r="AS403" s="1539"/>
      <c r="AT403" s="1537" t="str">
        <f t="shared" ref="AT403" si="382">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1"/>
      <c r="C404" s="1302"/>
      <c r="D404" s="1302"/>
      <c r="E404" s="1302"/>
      <c r="F404" s="1303"/>
      <c r="G404" s="1268"/>
      <c r="H404" s="1268"/>
      <c r="I404" s="1268"/>
      <c r="J404" s="1443"/>
      <c r="K404" s="1268"/>
      <c r="L404" s="1454"/>
      <c r="M404" s="1463"/>
      <c r="N404" s="1400"/>
      <c r="O404" s="1421"/>
      <c r="P404" s="1401" t="s">
        <v>2179</v>
      </c>
      <c r="Q404" s="1460" t="str">
        <f>IFERROR(VLOOKUP('別紙様式2-2（４・５月分）'!AR305,【参考】数式用!$AT$5:$AV$22,3,FALSE),"")</f>
        <v/>
      </c>
      <c r="R404" s="1405" t="s">
        <v>2190</v>
      </c>
      <c r="S404" s="1407" t="str">
        <f>IFERROR(VLOOKUP(K402,【参考】数式用!$A$5:$AB$27,MATCH(Q404,【参考】数式用!$B$4:$AB$4,0)+1,0),"")</f>
        <v/>
      </c>
      <c r="T404" s="1409" t="s">
        <v>2267</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2172</v>
      </c>
      <c r="AF404" s="1397" t="s">
        <v>24</v>
      </c>
      <c r="AG404" s="1397" t="str">
        <f>IF(X404&gt;=1,(AB404*12+AD404)-(X404*12+Z404)+1,"")</f>
        <v/>
      </c>
      <c r="AH404" s="1365" t="s">
        <v>38</v>
      </c>
      <c r="AI404" s="1489" t="str">
        <f t="shared" ref="AI404" si="383">IFERROR(ROUNDDOWN(ROUND(L402*V404,0)*M402,0)*AG404,"")</f>
        <v/>
      </c>
      <c r="AJ404" s="1553" t="str">
        <f>IFERROR(ROUNDDOWN(ROUND((L402*(V404-AX402)),0)*M402,0)*AG404,"")</f>
        <v/>
      </c>
      <c r="AK404" s="1371"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IF(AND(AB402&lt;&gt;7,AD402&lt;&gt;3),"V列に色付け","")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316"/>
      <c r="B405" s="1439"/>
      <c r="C405" s="1440"/>
      <c r="D405" s="1440"/>
      <c r="E405" s="1440"/>
      <c r="F405" s="1441"/>
      <c r="G405" s="1269"/>
      <c r="H405" s="1269"/>
      <c r="I405" s="1269"/>
      <c r="J405" s="1444"/>
      <c r="K405" s="1269"/>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66"/>
      <c r="AI405" s="1490"/>
      <c r="AJ405" s="1554"/>
      <c r="AK405" s="1372"/>
      <c r="AL405" s="1556"/>
      <c r="AM405" s="1558"/>
      <c r="AN405" s="1550"/>
      <c r="AO405" s="1530"/>
      <c r="AP405" s="1552"/>
      <c r="AQ405" s="1530"/>
      <c r="AR405" s="1532"/>
      <c r="AS405" s="153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314">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43"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2258</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7" t="s">
        <v>10</v>
      </c>
      <c r="Z406" s="1574">
        <f>'別紙様式2-3（６月以降分）'!Z406</f>
        <v>6</v>
      </c>
      <c r="AA406" s="1377" t="s">
        <v>45</v>
      </c>
      <c r="AB406" s="1574">
        <f>'別紙様式2-3（６月以降分）'!AB406</f>
        <v>7</v>
      </c>
      <c r="AC406" s="1377" t="s">
        <v>10</v>
      </c>
      <c r="AD406" s="1574">
        <f>'別紙様式2-3（６月以降分）'!AD406</f>
        <v>3</v>
      </c>
      <c r="AE406" s="1377" t="s">
        <v>2172</v>
      </c>
      <c r="AF406" s="1377" t="s">
        <v>24</v>
      </c>
      <c r="AG406" s="1377">
        <f>IF(X406&gt;=1,(AB406*12+AD406)-(X406*12+Z406)+1,"")</f>
        <v>10</v>
      </c>
      <c r="AH406" s="1379" t="s">
        <v>38</v>
      </c>
      <c r="AI406" s="1381"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315"/>
      <c r="B407" s="1301"/>
      <c r="C407" s="1302"/>
      <c r="D407" s="1302"/>
      <c r="E407" s="1302"/>
      <c r="F407" s="1303"/>
      <c r="G407" s="1268"/>
      <c r="H407" s="1268"/>
      <c r="I407" s="1268"/>
      <c r="J407" s="1443"/>
      <c r="K407" s="1268"/>
      <c r="L407" s="1454"/>
      <c r="M407" s="1456"/>
      <c r="N407" s="1399" t="str">
        <f>IF('別紙様式2-2（４・５月分）'!Q309="","",'別紙様式2-2（４・５月分）'!Q309)</f>
        <v/>
      </c>
      <c r="O407" s="1420"/>
      <c r="P407" s="1426"/>
      <c r="Q407" s="1427"/>
      <c r="R407" s="1428"/>
      <c r="S407" s="1430"/>
      <c r="T407" s="1432"/>
      <c r="U407" s="1577"/>
      <c r="V407" s="1436"/>
      <c r="W407" s="1438"/>
      <c r="X407" s="1575"/>
      <c r="Y407" s="1378"/>
      <c r="Z407" s="1575"/>
      <c r="AA407" s="1378"/>
      <c r="AB407" s="1575"/>
      <c r="AC407" s="1378"/>
      <c r="AD407" s="1575"/>
      <c r="AE407" s="1378"/>
      <c r="AF407" s="1378"/>
      <c r="AG407" s="1378"/>
      <c r="AH407" s="1380"/>
      <c r="AI407" s="1382"/>
      <c r="AJ407" s="1569"/>
      <c r="AK407" s="1571"/>
      <c r="AL407" s="1573"/>
      <c r="AM407" s="1564"/>
      <c r="AN407" s="1566"/>
      <c r="AO407" s="1394"/>
      <c r="AP407" s="1567"/>
      <c r="AQ407" s="1394"/>
      <c r="AR407" s="1536"/>
      <c r="AS407" s="1539"/>
      <c r="AT407" s="1537" t="str">
        <f t="shared" ref="AT407" si="386">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1"/>
      <c r="C408" s="1302"/>
      <c r="D408" s="1302"/>
      <c r="E408" s="1302"/>
      <c r="F408" s="1303"/>
      <c r="G408" s="1268"/>
      <c r="H408" s="1268"/>
      <c r="I408" s="1268"/>
      <c r="J408" s="1443"/>
      <c r="K408" s="1268"/>
      <c r="L408" s="1454"/>
      <c r="M408" s="1456"/>
      <c r="N408" s="1400"/>
      <c r="O408" s="1421"/>
      <c r="P408" s="1401" t="s">
        <v>2179</v>
      </c>
      <c r="Q408" s="1460" t="str">
        <f>IFERROR(VLOOKUP('別紙様式2-2（４・５月分）'!AR308,【参考】数式用!$AT$5:$AV$22,3,FALSE),"")</f>
        <v/>
      </c>
      <c r="R408" s="1405" t="s">
        <v>2190</v>
      </c>
      <c r="S408" s="1447" t="str">
        <f>IFERROR(VLOOKUP(K406,【参考】数式用!$A$5:$AB$27,MATCH(Q408,【参考】数式用!$B$4:$AB$4,0)+1,0),"")</f>
        <v/>
      </c>
      <c r="T408" s="1409" t="s">
        <v>2267</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2172</v>
      </c>
      <c r="AF408" s="1397" t="s">
        <v>24</v>
      </c>
      <c r="AG408" s="1397" t="str">
        <f>IF(X408&gt;=1,(AB408*12+AD408)-(X408*12+Z408)+1,"")</f>
        <v/>
      </c>
      <c r="AH408" s="1365" t="s">
        <v>38</v>
      </c>
      <c r="AI408" s="1489" t="str">
        <f t="shared" ref="AI408" si="387">IFERROR(ROUNDDOWN(ROUND(L406*V408,0)*M406,0)*AG408,"")</f>
        <v/>
      </c>
      <c r="AJ408" s="1553" t="str">
        <f>IFERROR(ROUNDDOWN(ROUND((L406*(V408-AX406)),0)*M406,0)*AG408,"")</f>
        <v/>
      </c>
      <c r="AK408" s="1371"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IF(AND(AB406&lt;&gt;7,AD406&lt;&gt;3),"V列に色付け","")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316"/>
      <c r="B409" s="1439"/>
      <c r="C409" s="1440"/>
      <c r="D409" s="1440"/>
      <c r="E409" s="1440"/>
      <c r="F409" s="1441"/>
      <c r="G409" s="1269"/>
      <c r="H409" s="1269"/>
      <c r="I409" s="1269"/>
      <c r="J409" s="1444"/>
      <c r="K409" s="1269"/>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66"/>
      <c r="AI409" s="1490"/>
      <c r="AJ409" s="1554"/>
      <c r="AK409" s="1372"/>
      <c r="AL409" s="1556"/>
      <c r="AM409" s="1558"/>
      <c r="AN409" s="1550"/>
      <c r="AO409" s="1530"/>
      <c r="AP409" s="1552"/>
      <c r="AQ409" s="1530"/>
      <c r="AR409" s="1532"/>
      <c r="AS409" s="153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42" t="str">
        <f>IF(基本情報入力シート!X153="","",基本情報入力シート!X153)</f>
        <v/>
      </c>
      <c r="K410" s="1267"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2258</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7" t="s">
        <v>10</v>
      </c>
      <c r="Z410" s="1574">
        <f>'別紙様式2-3（６月以降分）'!Z410</f>
        <v>6</v>
      </c>
      <c r="AA410" s="1377" t="s">
        <v>45</v>
      </c>
      <c r="AB410" s="1574">
        <f>'別紙様式2-3（６月以降分）'!AB410</f>
        <v>7</v>
      </c>
      <c r="AC410" s="1377" t="s">
        <v>10</v>
      </c>
      <c r="AD410" s="1574">
        <f>'別紙様式2-3（６月以降分）'!AD410</f>
        <v>3</v>
      </c>
      <c r="AE410" s="1377" t="s">
        <v>2172</v>
      </c>
      <c r="AF410" s="1377" t="s">
        <v>24</v>
      </c>
      <c r="AG410" s="1377">
        <f>IF(X410&gt;=1,(AB410*12+AD410)-(X410*12+Z410)+1,"")</f>
        <v>10</v>
      </c>
      <c r="AH410" s="1379" t="s">
        <v>38</v>
      </c>
      <c r="AI410" s="1381"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315"/>
      <c r="B411" s="1301"/>
      <c r="C411" s="1302"/>
      <c r="D411" s="1302"/>
      <c r="E411" s="1302"/>
      <c r="F411" s="1303"/>
      <c r="G411" s="1268"/>
      <c r="H411" s="1268"/>
      <c r="I411" s="1268"/>
      <c r="J411" s="1443"/>
      <c r="K411" s="1268"/>
      <c r="L411" s="1454"/>
      <c r="M411" s="1463"/>
      <c r="N411" s="1399" t="str">
        <f>IF('別紙様式2-2（４・５月分）'!Q312="","",'別紙様式2-2（４・５月分）'!Q312)</f>
        <v/>
      </c>
      <c r="O411" s="1420"/>
      <c r="P411" s="1426"/>
      <c r="Q411" s="1427"/>
      <c r="R411" s="1428"/>
      <c r="S411" s="1430"/>
      <c r="T411" s="1432"/>
      <c r="U411" s="1577"/>
      <c r="V411" s="1436"/>
      <c r="W411" s="1438"/>
      <c r="X411" s="1575"/>
      <c r="Y411" s="1378"/>
      <c r="Z411" s="1575"/>
      <c r="AA411" s="1378"/>
      <c r="AB411" s="1575"/>
      <c r="AC411" s="1378"/>
      <c r="AD411" s="1575"/>
      <c r="AE411" s="1378"/>
      <c r="AF411" s="1378"/>
      <c r="AG411" s="1378"/>
      <c r="AH411" s="1380"/>
      <c r="AI411" s="1382"/>
      <c r="AJ411" s="1569"/>
      <c r="AK411" s="1571"/>
      <c r="AL411" s="1573"/>
      <c r="AM411" s="1564"/>
      <c r="AN411" s="1566"/>
      <c r="AO411" s="1394"/>
      <c r="AP411" s="1567"/>
      <c r="AQ411" s="1394"/>
      <c r="AR411" s="1536"/>
      <c r="AS411" s="1539"/>
      <c r="AT411" s="1537" t="str">
        <f t="shared" ref="AT411" si="390">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1"/>
      <c r="C412" s="1302"/>
      <c r="D412" s="1302"/>
      <c r="E412" s="1302"/>
      <c r="F412" s="1303"/>
      <c r="G412" s="1268"/>
      <c r="H412" s="1268"/>
      <c r="I412" s="1268"/>
      <c r="J412" s="1443"/>
      <c r="K412" s="1268"/>
      <c r="L412" s="1454"/>
      <c r="M412" s="1463"/>
      <c r="N412" s="1400"/>
      <c r="O412" s="1421"/>
      <c r="P412" s="1401" t="s">
        <v>2179</v>
      </c>
      <c r="Q412" s="1460" t="str">
        <f>IFERROR(VLOOKUP('別紙様式2-2（４・５月分）'!AR311,【参考】数式用!$AT$5:$AV$22,3,FALSE),"")</f>
        <v/>
      </c>
      <c r="R412" s="1405" t="s">
        <v>2190</v>
      </c>
      <c r="S412" s="1407" t="str">
        <f>IFERROR(VLOOKUP(K410,【参考】数式用!$A$5:$AB$27,MATCH(Q412,【参考】数式用!$B$4:$AB$4,0)+1,0),"")</f>
        <v/>
      </c>
      <c r="T412" s="1409" t="s">
        <v>2267</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2172</v>
      </c>
      <c r="AF412" s="1397" t="s">
        <v>24</v>
      </c>
      <c r="AG412" s="1397" t="str">
        <f>IF(X412&gt;=1,(AB412*12+AD412)-(X412*12+Z412)+1,"")</f>
        <v/>
      </c>
      <c r="AH412" s="1365" t="s">
        <v>38</v>
      </c>
      <c r="AI412" s="1489" t="str">
        <f t="shared" ref="AI412" si="391">IFERROR(ROUNDDOWN(ROUND(L410*V412,0)*M410,0)*AG412,"")</f>
        <v/>
      </c>
      <c r="AJ412" s="1553" t="str">
        <f>IFERROR(ROUNDDOWN(ROUND((L410*(V412-AX410)),0)*M410,0)*AG412,"")</f>
        <v/>
      </c>
      <c r="AK412" s="1371"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IF(AND(AB410&lt;&gt;7,AD410&lt;&gt;3),"V列に色付け","")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316"/>
      <c r="B413" s="1439"/>
      <c r="C413" s="1440"/>
      <c r="D413" s="1440"/>
      <c r="E413" s="1440"/>
      <c r="F413" s="1441"/>
      <c r="G413" s="1269"/>
      <c r="H413" s="1269"/>
      <c r="I413" s="1269"/>
      <c r="J413" s="1444"/>
      <c r="K413" s="1269"/>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66"/>
      <c r="AI413" s="1490"/>
      <c r="AJ413" s="1554"/>
      <c r="AK413" s="1372"/>
      <c r="AL413" s="1556"/>
      <c r="AM413" s="1558"/>
      <c r="AN413" s="1550"/>
      <c r="AO413" s="1530"/>
      <c r="AP413" s="1552"/>
      <c r="AQ413" s="1530"/>
      <c r="AR413" s="1532"/>
      <c r="AS413" s="153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AX414" s="440" t="e">
        <f>IF(SUM('別紙様式2-2（４・５月分）'!#REF!)=0,"",SUM('別紙様式2-2（４・５月分）'!#REF!))</f>
        <v>#REF!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S14:AS15"/>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K26:AK27"/>
    <mergeCell ref="AL26:AL27"/>
    <mergeCell ref="AA26:AA27"/>
    <mergeCell ref="AB26:AB27"/>
    <mergeCell ref="AC26:AC27"/>
    <mergeCell ref="AD26:AD27"/>
    <mergeCell ref="AE26:AE27"/>
    <mergeCell ref="AF26:AF27"/>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O30:AO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M86:AM87"/>
    <mergeCell ref="AN86:AN8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election activeCell="W12" sqref="W12:AH13"/>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2109</v>
      </c>
      <c r="B1" s="2"/>
      <c r="C1" s="2"/>
      <c r="D1" s="2"/>
      <c r="E1" s="2"/>
      <c r="AD1" s="27"/>
      <c r="AE1" s="2" t="s">
        <v>2339</v>
      </c>
      <c r="AJ1" s="1" t="s">
        <v>232</v>
      </c>
      <c r="AM1" s="1" t="s">
        <v>233</v>
      </c>
      <c r="AO1" s="2" t="s">
        <v>242</v>
      </c>
      <c r="AQ1" s="75" t="s">
        <v>2361</v>
      </c>
    </row>
    <row r="2" spans="1:48">
      <c r="A2" s="1611" t="s">
        <v>18</v>
      </c>
      <c r="B2" s="1605" t="s">
        <v>43</v>
      </c>
      <c r="C2" s="1606"/>
      <c r="D2" s="1606"/>
      <c r="E2" s="1607"/>
      <c r="F2" s="1619" t="s">
        <v>106</v>
      </c>
      <c r="G2" s="1620"/>
      <c r="H2" s="1621"/>
      <c r="I2" s="1611" t="s">
        <v>191</v>
      </c>
      <c r="J2" s="1622"/>
      <c r="K2" s="1614" t="s">
        <v>192</v>
      </c>
      <c r="L2" s="1615"/>
      <c r="M2" s="1615"/>
      <c r="N2" s="1615"/>
      <c r="O2" s="1615"/>
      <c r="P2" s="1615"/>
      <c r="Q2" s="1615"/>
      <c r="R2" s="1615"/>
      <c r="S2" s="1615"/>
      <c r="T2" s="1615"/>
      <c r="U2" s="1615"/>
      <c r="V2" s="1615"/>
      <c r="W2" s="1615"/>
      <c r="X2" s="1615"/>
      <c r="Y2" s="1615"/>
      <c r="Z2" s="1615"/>
      <c r="AA2" s="1615"/>
      <c r="AB2" s="1602"/>
      <c r="AC2" s="1637" t="s">
        <v>2171</v>
      </c>
      <c r="AD2" s="27"/>
      <c r="AE2" s="1630" t="s">
        <v>18</v>
      </c>
      <c r="AF2" s="1630" t="s">
        <v>2338</v>
      </c>
      <c r="AG2" s="1631"/>
      <c r="AH2" s="1632"/>
      <c r="AJ2" s="57" t="s">
        <v>145</v>
      </c>
      <c r="AK2" s="82" t="s">
        <v>145</v>
      </c>
      <c r="AM2" s="87" t="s">
        <v>173</v>
      </c>
      <c r="AO2" s="119" t="s">
        <v>2098</v>
      </c>
      <c r="AQ2" s="1641" t="s">
        <v>43</v>
      </c>
      <c r="AR2" s="1615" t="s">
        <v>106</v>
      </c>
      <c r="AS2" s="1615" t="s">
        <v>191</v>
      </c>
      <c r="AT2" s="1624" t="s">
        <v>215</v>
      </c>
      <c r="AU2" s="1627" t="s">
        <v>214</v>
      </c>
      <c r="AV2" s="1602" t="s">
        <v>2188</v>
      </c>
    </row>
    <row r="3" spans="1:48" ht="26.25" customHeight="1" thickBot="1">
      <c r="A3" s="1612"/>
      <c r="B3" s="1608" t="s">
        <v>260</v>
      </c>
      <c r="C3" s="1609"/>
      <c r="D3" s="1609"/>
      <c r="E3" s="1610"/>
      <c r="F3" s="1608" t="s">
        <v>42</v>
      </c>
      <c r="G3" s="1609"/>
      <c r="H3" s="1610"/>
      <c r="I3" s="1613"/>
      <c r="J3" s="1623"/>
      <c r="K3" s="1616" t="s">
        <v>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218</v>
      </c>
      <c r="AK3" s="80" t="s">
        <v>218</v>
      </c>
      <c r="AM3" s="88"/>
      <c r="AO3" s="98" t="s">
        <v>2099</v>
      </c>
      <c r="AQ3" s="1642"/>
      <c r="AR3" s="1644"/>
      <c r="AS3" s="1644"/>
      <c r="AT3" s="1625"/>
      <c r="AU3" s="1628"/>
      <c r="AV3" s="1603"/>
    </row>
    <row r="4" spans="1:48" ht="23.25" thickBot="1">
      <c r="A4" s="1613"/>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39"/>
      <c r="AD4" s="27"/>
      <c r="AE4" s="1636"/>
      <c r="AF4" s="1633"/>
      <c r="AG4" s="1634"/>
      <c r="AH4" s="1635"/>
      <c r="AJ4" s="54" t="s">
        <v>219</v>
      </c>
      <c r="AK4" s="80" t="s">
        <v>219</v>
      </c>
      <c r="AO4" s="98" t="s">
        <v>2100</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t="s">
        <v>2277</v>
      </c>
      <c r="AJ23" s="57" t="s">
        <v>163</v>
      </c>
      <c r="AK23" s="82" t="s">
        <v>230</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2110</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2278</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4.25"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4.25"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4.25"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4.25" thickBot="1">
      <c r="C1749" s="92" t="s">
        <v>268</v>
      </c>
      <c r="D1749" s="91" t="s">
        <v>267</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2024-03-04T16:31:36Z</dcterms:modified>
</cp:coreProperties>
</file>